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UM w Okonku" sheetId="1" r:id="rId1"/>
  </sheets>
  <definedNames>
    <definedName name="_xlnm.Print_Area" localSheetId="0">'UM w Okonku'!$A$1:$E$334</definedName>
    <definedName name="Z_14F46723_B285_4F04_B541_E51522676B57_.wvu.FilterData" localSheetId="0" hidden="1">'UM w Okonku'!$B$11:$B$33</definedName>
    <definedName name="Z_14F46723_B285_4F04_B541_E51522676B57_.wvu.PrintArea" localSheetId="0" hidden="1">'UM w Okonku'!$A$7:$E$334</definedName>
    <definedName name="Z_5EC75725_E357_42F6_85CF_19E5F3419F6E_.wvu.Cols" localSheetId="0" hidden="1">'UM w Okonku'!#REF!,'UM w Okonku'!#REF!</definedName>
    <definedName name="Z_5EC75725_E357_42F6_85CF_19E5F3419F6E_.wvu.FilterData" localSheetId="0" hidden="1">'UM w Okonku'!$B$11:$B$33</definedName>
    <definedName name="Z_5EC75725_E357_42F6_85CF_19E5F3419F6E_.wvu.PrintArea" localSheetId="0" hidden="1">'UM w Okonku'!$A$7:$E$334</definedName>
    <definedName name="Z_5EC75725_E357_42F6_85CF_19E5F3419F6E_.wvu.Rows" localSheetId="0" hidden="1">'UM w Okonku'!$12:$12,'UM w Okonku'!$14:$14,'UM w Okonku'!$16:$21,'UM w Okonku'!$23:$23,'UM w Okonku'!$25:$25,'UM w Okonku'!$29:$29,'UM w Okonku'!$35:$35,'UM w Okonku'!$37:$37,'UM w Okonku'!$42:$42,'UM w Okonku'!$49:$49,'UM w Okonku'!$51:$51,'UM w Okonku'!$54:$54,'UM w Okonku'!$58:$58,'UM w Okonku'!$64:$64,'UM w Okonku'!$66:$66,'UM w Okonku'!$84:$84,'UM w Okonku'!$87:$87,'UM w Okonku'!$98:$98,'UM w Okonku'!$122:$123,'UM w Okonku'!$125:$125,'UM w Okonku'!$127:$132,'UM w Okonku'!$134:$134,'UM w Okonku'!$136:$136,'UM w Okonku'!$153:$153,'UM w Okonku'!$155:$155,'UM w Okonku'!$160:$160,'UM w Okonku'!$162:$162,'UM w Okonku'!$176:$176,'UM w Okonku'!$198:$198,'UM w Okonku'!$202:$202,'UM w Okonku'!$204:$204,'UM w Okonku'!$212:$212,'UM w Okonku'!$215:$215,'UM w Okonku'!$217:$217,'UM w Okonku'!$221:$221,'UM w Okonku'!$223:$223,'UM w Okonku'!$227:$227,'UM w Okonku'!$236:$236,'UM w Okonku'!$243:$243,'UM w Okonku'!$245:$245,'UM w Okonku'!$248:$248,'UM w Okonku'!$252:$252,'UM w Okonku'!$265:$265,'UM w Okonku'!$273:$273,'UM w Okonku'!$275:$275,'UM w Okonku'!#REF!,'UM w Okonku'!$278:$278,'UM w Okonku'!$280:$280,'UM w Okonku'!$283:$283,'UM w Okonku'!$286:$286,'UM w Okonku'!$296:$296,'UM w Okonku'!$299:$299,'UM w Okonku'!$307:$307,'UM w Okonku'!$309:$309,'UM w Okonku'!$313:$313,'UM w Okonku'!$317:$317,'UM w Okonku'!$319:$319,'UM w Okonku'!$327:$327</definedName>
    <definedName name="Z_900B9A8D_5DD6_4296_AFC9_B78E7B1DD417_.wvu.FilterData" localSheetId="0" hidden="1">'UM w Okonku'!$B$11:$B$33</definedName>
    <definedName name="Z_900B9A8D_5DD6_4296_AFC9_B78E7B1DD417_.wvu.PrintArea" localSheetId="0" hidden="1">'UM w Okonku'!$A$7:$E$334</definedName>
    <definedName name="Z_900B9A8D_5DD6_4296_AFC9_B78E7B1DD417_.wvu.Rows" localSheetId="0" hidden="1">'UM w Okonku'!$12:$12,'UM w Okonku'!$14:$14,'UM w Okonku'!$17:$17,'UM w Okonku'!$23:$23,'UM w Okonku'!$25:$25,'UM w Okonku'!$29:$29,'UM w Okonku'!$35:$35,'UM w Okonku'!$37:$37,'UM w Okonku'!$42:$42,'UM w Okonku'!$49:$49,'UM w Okonku'!$51:$51,'UM w Okonku'!$54:$54,'UM w Okonku'!$58:$58,'UM w Okonku'!$64:$64,'UM w Okonku'!$66:$66,'UM w Okonku'!$84:$84,'UM w Okonku'!$87:$87,'UM w Okonku'!$98:$98,'UM w Okonku'!$125:$125,'UM w Okonku'!$128:$128,'UM w Okonku'!$134:$134,'UM w Okonku'!$136:$136,'UM w Okonku'!$153:$153,'UM w Okonku'!$155:$155,'UM w Okonku'!$162:$162,'UM w Okonku'!$176:$176,'UM w Okonku'!$198:$198,'UM w Okonku'!$202:$202,'UM w Okonku'!$204:$204,'UM w Okonku'!$210:$210,'UM w Okonku'!$212:$212,'UM w Okonku'!$215:$215,'UM w Okonku'!$217:$217,'UM w Okonku'!$221:$221,'UM w Okonku'!$223:$223,'UM w Okonku'!#REF!,'UM w Okonku'!#REF!,'UM w Okonku'!#REF!,'UM w Okonku'!$227:$227,'UM w Okonku'!#REF!,'UM w Okonku'!#REF!,'UM w Okonku'!#REF!,'UM w Okonku'!$236:$236,'UM w Okonku'!$243:$243,'UM w Okonku'!$245:$245,'UM w Okonku'!$248:$248,'UM w Okonku'!$252:$252,'UM w Okonku'!$265:$265,'UM w Okonku'!#REF!,'UM w Okonku'!#REF!,'UM w Okonku'!#REF!,'UM w Okonku'!#REF!,'UM w Okonku'!#REF!,'UM w Okonku'!#REF!,'UM w Okonku'!#REF!,'UM w Okonku'!#REF!,'UM w Okonku'!#REF!,'UM w Okonku'!#REF!,'UM w Okonku'!#REF!,'UM w Okonku'!#REF!,'UM w Okonku'!$273:$273,'UM w Okonku'!#REF!,'UM w Okonku'!$275:$275,'UM w Okonku'!#REF!,'UM w Okonku'!#REF!,'UM w Okonku'!$278:$278,'UM w Okonku'!$280:$280,'UM w Okonku'!$283:$283,'UM w Okonku'!$286:$286,'UM w Okonku'!#REF!,'UM w Okonku'!$296:$296,'UM w Okonku'!$299:$299,'UM w Okonku'!$307:$307,'UM w Okonku'!$309:$309,'UM w Okonku'!#REF!,'UM w Okonku'!$313:$313,'UM w Okonku'!$317:$317,'UM w Okonku'!$319:$319,'UM w Okonku'!$327:$327</definedName>
  </definedNames>
  <calcPr fullCalcOnLoad="1"/>
</workbook>
</file>

<file path=xl/sharedStrings.xml><?xml version="1.0" encoding="utf-8"?>
<sst xmlns="http://schemas.openxmlformats.org/spreadsheetml/2006/main" count="530" uniqueCount="231">
  <si>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</si>
  <si>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</si>
  <si>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</si>
  <si>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</si>
  <si>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</si>
  <si>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</si>
  <si>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</si>
  <si>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</si>
  <si>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</si>
  <si>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</si>
  <si>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</si>
  <si>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</si>
  <si>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</si>
  <si>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</si>
  <si>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</si>
  <si>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</si>
  <si>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</si>
  <si>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</si>
  <si>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</si>
  <si>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</si>
  <si>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</si>
  <si>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</si>
  <si>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</si>
  <si>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</si>
  <si>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</si>
  <si>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</si>
  <si>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</si>
  <si>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</si>
  <si>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</si>
  <si>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</si>
  <si>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</si>
  <si>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</si>
  <si>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</si>
  <si>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</si>
  <si>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801</t>
  </si>
  <si>
    <t>OŚWIATA I WYCHOWANIE</t>
  </si>
  <si>
    <t>Szkoły podstawowe</t>
  </si>
  <si>
    <t>80101</t>
  </si>
  <si>
    <t>80195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</si>
  <si>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</si>
  <si>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</si>
  <si>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</si>
  <si>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</si>
  <si>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</si>
  <si>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</si>
  <si>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</si>
  <si>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</si>
  <si>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</si>
  <si>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</si>
  <si>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</si>
  <si>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</si>
  <si>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</si>
  <si>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</si>
  <si>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</si>
  <si>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</si>
  <si>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</si>
  <si>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</si>
  <si>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</si>
  <si>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</si>
  <si>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</si>
  <si>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</si>
  <si>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</si>
  <si>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</si>
  <si>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</si>
  <si>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</si>
  <si>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</si>
  <si>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</si>
  <si>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</si>
  <si>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</si>
  <si>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</si>
  <si>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</si>
  <si>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</si>
  <si>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</si>
  <si>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</si>
  <si>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</si>
  <si>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</si>
  <si>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</si>
  <si>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</si>
  <si>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</si>
  <si>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</si>
  <si>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</si>
  <si>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</si>
  <si>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</si>
  <si>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</si>
  <si>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</si>
  <si>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</si>
  <si>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</si>
  <si>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</si>
  <si>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</si>
  <si>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</si>
  <si>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</si>
  <si>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</si>
  <si>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</si>
  <si>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</si>
  <si>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</si>
  <si>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</si>
  <si>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</si>
  <si>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</si>
  <si>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</si>
  <si>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</si>
  <si>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</si>
  <si>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</si>
  <si>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</si>
  <si>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</si>
  <si>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</si>
  <si>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</si>
  <si>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</si>
  <si>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</si>
  <si>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</si>
  <si>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</si>
  <si>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</si>
  <si>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</si>
  <si>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</si>
  <si>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</si>
  <si>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</si>
  <si>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</si>
  <si>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</si>
  <si>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</si>
  <si>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</si>
  <si>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</si>
  <si>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</si>
  <si>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</si>
  <si>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</si>
  <si>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</si>
  <si>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</si>
  <si>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</si>
  <si>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</si>
  <si>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</si>
  <si>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</si>
  <si>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</si>
  <si>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</si>
  <si>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</si>
  <si>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</si>
  <si>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</si>
  <si>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</si>
  <si>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</si>
  <si>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</si>
  <si>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</si>
  <si>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</si>
  <si>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</si>
  <si>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</si>
  <si>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</si>
  <si>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</si>
  <si>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</si>
  <si>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</si>
  <si>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</si>
  <si>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</si>
  <si>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</si>
  <si>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</si>
  <si>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</si>
  <si>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</si>
  <si>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</si>
  <si>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</si>
  <si>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</si>
  <si>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</si>
  <si>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</si>
  <si>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</si>
  <si>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</si>
  <si>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</si>
  <si>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</si>
  <si>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</si>
  <si>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</si>
  <si>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</si>
  <si>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</si>
  <si>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</si>
  <si>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</si>
  <si>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</si>
  <si>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</si>
  <si>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</si>
  <si>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</si>
  <si>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</si>
  <si>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</si>
  <si>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</si>
  <si>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</si>
  <si>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</si>
  <si>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</si>
  <si>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</si>
  <si>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</si>
  <si>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</si>
  <si>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</si>
  <si>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</si>
  <si>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</si>
  <si>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</si>
  <si>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</si>
  <si>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</si>
  <si>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</si>
  <si>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</si>
  <si>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</si>
  <si>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</si>
  <si>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</si>
  <si>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</si>
  <si>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</si>
  <si>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</si>
  <si>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</si>
  <si>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</si>
  <si>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</si>
  <si>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Różne jednostki obsługi gospodarki mieszkaniowej i komunalnej</t>
  </si>
  <si>
    <t>75095</t>
  </si>
  <si>
    <t>4176</t>
  </si>
  <si>
    <t>4216</t>
  </si>
  <si>
    <t>DZIAŁ</t>
  </si>
  <si>
    <t>75404</t>
  </si>
  <si>
    <t>Komendy Wojewódzkie Policji</t>
  </si>
  <si>
    <t xml:space="preserve">Zakup materiałów </t>
  </si>
  <si>
    <t>Plan na 2009 projekt</t>
  </si>
  <si>
    <t>Burmistrza Okonka</t>
  </si>
  <si>
    <t>Wydatki osobowe nie zaliczane do wynagrodzeń</t>
  </si>
  <si>
    <t>4309</t>
  </si>
  <si>
    <t>Zakłady gospodarki komunalnej</t>
  </si>
  <si>
    <t>90017</t>
  </si>
  <si>
    <t>71095</t>
  </si>
  <si>
    <t>2310</t>
  </si>
  <si>
    <t>Dotacje celowe przekazane gminie na zadania bieżące realizowane na podstawie porozumień (umów) między jednostkami samorządu terytorialnego</t>
  </si>
  <si>
    <t>4580</t>
  </si>
  <si>
    <t>Pozostałe odsetki</t>
  </si>
  <si>
    <t>Wydatki inwestycyjne</t>
  </si>
  <si>
    <t>4306</t>
  </si>
  <si>
    <t>6220</t>
  </si>
  <si>
    <t>Dotacje celowe z budżetu na dofinansowanie kosztów realizacji inwestycji i zakupów inwestycyjnych innych jednostek sektora finansów publicznych</t>
  </si>
  <si>
    <t>Załącznik  nr 2</t>
  </si>
  <si>
    <t>Wybory do Parlamentu Europejskiego</t>
  </si>
  <si>
    <t>75113</t>
  </si>
  <si>
    <t>852</t>
  </si>
  <si>
    <t>POMOC SPOŁECZNA</t>
  </si>
  <si>
    <t>Powiatowe centra pomocy rodzinie</t>
  </si>
  <si>
    <t>85218</t>
  </si>
  <si>
    <t>4356</t>
  </si>
  <si>
    <t>Zakup usług dostepu do sieci Internet</t>
  </si>
  <si>
    <t>WYDATKI BUDŻETU MIASTA I GMINY OKONEK NA 2009 ROK</t>
  </si>
  <si>
    <t>z dnia 30 października 2009</t>
  </si>
  <si>
    <t>do Zarządzenia nr 71/2009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</si>
</sst>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27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398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9.28125" style="4" bestFit="1" customWidth="1"/>
    <col min="2" max="2" width="40.140625" style="19" customWidth="1"/>
    <col min="3" max="3" width="14.28125" style="4" customWidth="1"/>
    <col min="4" max="4" width="12.8515625" style="4" customWidth="1"/>
    <col min="5" max="5" width="16.140625" style="12" customWidth="1"/>
    <col min="6" max="6" width="15.00390625" style="10" bestFit="1" customWidth="1"/>
    <col min="7" max="7" width="13.28125" style="10" bestFit="1" customWidth="1"/>
    <col min="8" max="8" width="14.140625" style="10" bestFit="1" customWidth="1"/>
    <col min="9" max="9" width="10.28125" style="10" bestFit="1" customWidth="1"/>
    <col min="10" max="10" width="13.28125" style="10" bestFit="1" customWidth="1"/>
    <col min="11" max="11" width="11.421875" style="10" bestFit="1" customWidth="1"/>
    <col min="12" max="12" width="14.28125" style="10" bestFit="1" customWidth="1"/>
    <col min="13" max="16384" width="9.140625" style="1" customWidth="1"/>
  </cols>
  <sheetData>
    <row r="1" ht="15.75">
      <c r="E1" s="12" t="s">
        <v>219</v>
      </c>
    </row>
    <row r="2" ht="15.75">
      <c r="E2" s="12" t="s">
        <v>230</v>
      </c>
    </row>
    <row r="3" ht="15.75">
      <c r="E3" s="12" t="s">
        <v>205</v>
      </c>
    </row>
    <row r="4" ht="15.75">
      <c r="E4" s="12" t="s">
        <v>229</v>
      </c>
    </row>
    <row r="7" spans="1:5" ht="19.5">
      <c r="A7" s="20" t="s">
        <v>228</v>
      </c>
      <c r="B7" s="2"/>
      <c r="C7" s="2"/>
      <c r="D7" s="2"/>
      <c r="E7" s="47"/>
    </row>
    <row r="9" spans="1:12" s="22" customFormat="1" ht="70.5" customHeight="1">
      <c r="A9" s="21" t="s">
        <v>3</v>
      </c>
      <c r="B9" s="21" t="s">
        <v>2</v>
      </c>
      <c r="C9" s="21" t="s">
        <v>1</v>
      </c>
      <c r="D9" s="21" t="s">
        <v>0</v>
      </c>
      <c r="E9" s="13" t="s">
        <v>204</v>
      </c>
      <c r="F9" s="50"/>
      <c r="G9" s="50"/>
      <c r="H9" s="50"/>
      <c r="I9" s="50"/>
      <c r="J9" s="50"/>
      <c r="K9" s="50"/>
      <c r="L9" s="50"/>
    </row>
    <row r="10" spans="1:12" s="22" customFormat="1" ht="15.75">
      <c r="A10" s="3">
        <v>1</v>
      </c>
      <c r="B10" s="3">
        <v>2</v>
      </c>
      <c r="C10" s="3">
        <v>3</v>
      </c>
      <c r="D10" s="3">
        <v>4</v>
      </c>
      <c r="E10" s="48">
        <v>7</v>
      </c>
      <c r="F10" s="50"/>
      <c r="G10" s="50"/>
      <c r="H10" s="50"/>
      <c r="I10" s="50"/>
      <c r="J10" s="50"/>
      <c r="K10" s="50"/>
      <c r="L10" s="50"/>
    </row>
    <row r="11" spans="1:5" ht="15.75">
      <c r="A11" s="23" t="s">
        <v>4</v>
      </c>
      <c r="B11" s="24" t="s">
        <v>5</v>
      </c>
      <c r="C11" s="25"/>
      <c r="D11" s="6"/>
      <c r="E11" s="11">
        <f>E13+E16</f>
        <v>299615</v>
      </c>
    </row>
    <row r="12" spans="1:5" ht="15.75" hidden="1">
      <c r="A12" s="26"/>
      <c r="B12" s="24"/>
      <c r="C12" s="25"/>
      <c r="D12" s="6"/>
      <c r="E12" s="11">
        <f>-E11</f>
        <v>-299615</v>
      </c>
    </row>
    <row r="13" spans="1:5" ht="15.75">
      <c r="A13" s="27"/>
      <c r="B13" s="28" t="s">
        <v>6</v>
      </c>
      <c r="C13" s="25" t="s">
        <v>7</v>
      </c>
      <c r="D13" s="6"/>
      <c r="E13" s="14">
        <f>SUM(E15)</f>
        <v>24500</v>
      </c>
    </row>
    <row r="14" spans="1:5" ht="15.75" hidden="1">
      <c r="A14" s="27"/>
      <c r="B14" s="28"/>
      <c r="C14" s="25"/>
      <c r="D14" s="6"/>
      <c r="E14" s="11">
        <f>-E13</f>
        <v>-24500</v>
      </c>
    </row>
    <row r="15" spans="1:5" ht="47.25">
      <c r="A15" s="27"/>
      <c r="B15" s="29" t="s">
        <v>47</v>
      </c>
      <c r="C15" s="30"/>
      <c r="D15" s="31" t="s">
        <v>48</v>
      </c>
      <c r="E15" s="15">
        <f>17500+7000</f>
        <v>24500</v>
      </c>
    </row>
    <row r="16" spans="1:5" ht="15.75">
      <c r="A16" s="27"/>
      <c r="B16" s="28" t="s">
        <v>8</v>
      </c>
      <c r="C16" s="25" t="s">
        <v>9</v>
      </c>
      <c r="D16" s="6"/>
      <c r="E16" s="14">
        <f>SUM(E18:E21)</f>
        <v>275115</v>
      </c>
    </row>
    <row r="17" spans="1:5" ht="15.75" hidden="1">
      <c r="A17" s="27"/>
      <c r="B17" s="28"/>
      <c r="C17" s="25"/>
      <c r="D17" s="6"/>
      <c r="E17" s="14">
        <f>-E16</f>
        <v>-275115</v>
      </c>
    </row>
    <row r="18" spans="1:5" ht="15.75">
      <c r="A18" s="27"/>
      <c r="B18" s="29" t="s">
        <v>65</v>
      </c>
      <c r="C18" s="25"/>
      <c r="D18" s="6" t="s">
        <v>66</v>
      </c>
      <c r="E18" s="15">
        <v>5094</v>
      </c>
    </row>
    <row r="19" spans="1:5" ht="15.75">
      <c r="A19" s="27"/>
      <c r="B19" s="29" t="s">
        <v>61</v>
      </c>
      <c r="C19" s="25"/>
      <c r="D19" s="6" t="s">
        <v>62</v>
      </c>
      <c r="E19" s="15">
        <v>269721</v>
      </c>
    </row>
    <row r="20" spans="1:5" ht="31.5">
      <c r="A20" s="27"/>
      <c r="B20" s="29" t="s">
        <v>97</v>
      </c>
      <c r="C20" s="25"/>
      <c r="D20" s="6" t="s">
        <v>96</v>
      </c>
      <c r="E20" s="15">
        <v>100</v>
      </c>
    </row>
    <row r="21" spans="1:5" ht="31.5">
      <c r="A21" s="27"/>
      <c r="B21" s="29" t="s">
        <v>98</v>
      </c>
      <c r="C21" s="25"/>
      <c r="D21" s="6" t="s">
        <v>99</v>
      </c>
      <c r="E21" s="15">
        <v>200</v>
      </c>
    </row>
    <row r="22" spans="1:5" ht="15.75">
      <c r="A22" s="23" t="s">
        <v>10</v>
      </c>
      <c r="B22" s="24" t="s">
        <v>11</v>
      </c>
      <c r="C22" s="25"/>
      <c r="D22" s="6"/>
      <c r="E22" s="11">
        <f>E24+E28</f>
        <v>1194500</v>
      </c>
    </row>
    <row r="23" spans="1:5" ht="15.75" hidden="1">
      <c r="A23" s="26"/>
      <c r="B23" s="24"/>
      <c r="C23" s="25"/>
      <c r="D23" s="6"/>
      <c r="E23" s="11">
        <f>-E22</f>
        <v>-1194500</v>
      </c>
    </row>
    <row r="24" spans="1:5" ht="15.75">
      <c r="A24" s="27"/>
      <c r="B24" s="28" t="s">
        <v>51</v>
      </c>
      <c r="C24" s="25" t="s">
        <v>52</v>
      </c>
      <c r="D24" s="6"/>
      <c r="E24" s="14">
        <f>SUM(E26:E27)</f>
        <v>375000</v>
      </c>
    </row>
    <row r="25" spans="1:5" ht="15.75" hidden="1">
      <c r="A25" s="27"/>
      <c r="B25" s="28"/>
      <c r="C25" s="25"/>
      <c r="D25" s="6"/>
      <c r="E25" s="14">
        <f>-E24</f>
        <v>-375000</v>
      </c>
    </row>
    <row r="26" spans="1:6" ht="63" hidden="1">
      <c r="A26" s="27"/>
      <c r="B26" s="29" t="s">
        <v>102</v>
      </c>
      <c r="C26" s="25"/>
      <c r="D26" s="6" t="s">
        <v>50</v>
      </c>
      <c r="E26" s="15"/>
      <c r="F26" s="15"/>
    </row>
    <row r="27" spans="1:6" ht="78.75">
      <c r="A27" s="27"/>
      <c r="B27" s="29" t="s">
        <v>195</v>
      </c>
      <c r="C27" s="25"/>
      <c r="D27" s="6" t="s">
        <v>49</v>
      </c>
      <c r="E27" s="15">
        <f>250000+125000</f>
        <v>375000</v>
      </c>
      <c r="F27" s="15"/>
    </row>
    <row r="28" spans="1:5" ht="15.75">
      <c r="A28" s="27"/>
      <c r="B28" s="28" t="s">
        <v>53</v>
      </c>
      <c r="C28" s="25" t="s">
        <v>12</v>
      </c>
      <c r="D28" s="6"/>
      <c r="E28" s="14">
        <f>SUM(E30:E33)</f>
        <v>819500</v>
      </c>
    </row>
    <row r="29" spans="1:5" ht="15.75" hidden="1">
      <c r="A29" s="27"/>
      <c r="B29" s="28"/>
      <c r="C29" s="25"/>
      <c r="D29" s="6"/>
      <c r="E29" s="15">
        <f>-E28</f>
        <v>-819500</v>
      </c>
    </row>
    <row r="30" spans="1:5" ht="15.75">
      <c r="A30" s="27"/>
      <c r="B30" s="29" t="s">
        <v>65</v>
      </c>
      <c r="C30" s="25"/>
      <c r="D30" s="6" t="s">
        <v>66</v>
      </c>
      <c r="E30" s="15">
        <v>9000</v>
      </c>
    </row>
    <row r="31" spans="1:5" ht="15.75">
      <c r="A31" s="27"/>
      <c r="B31" s="29" t="s">
        <v>54</v>
      </c>
      <c r="C31" s="25"/>
      <c r="D31" s="6" t="s">
        <v>55</v>
      </c>
      <c r="E31" s="15">
        <f>65000+60000+30000</f>
        <v>155000</v>
      </c>
    </row>
    <row r="32" spans="1:5" ht="15.75">
      <c r="A32" s="27"/>
      <c r="B32" s="29" t="s">
        <v>56</v>
      </c>
      <c r="C32" s="25"/>
      <c r="D32" s="6" t="s">
        <v>57</v>
      </c>
      <c r="E32" s="15">
        <f>15000+10000+2500</f>
        <v>27500</v>
      </c>
    </row>
    <row r="33" spans="1:6" ht="31.5">
      <c r="A33" s="27"/>
      <c r="B33" s="29" t="s">
        <v>58</v>
      </c>
      <c r="C33" s="25"/>
      <c r="D33" s="6" t="s">
        <v>59</v>
      </c>
      <c r="E33" s="15">
        <f>655000+33000-60000</f>
        <v>628000</v>
      </c>
      <c r="F33" s="15"/>
    </row>
    <row r="34" spans="1:5" ht="15.75">
      <c r="A34" s="23" t="s">
        <v>13</v>
      </c>
      <c r="B34" s="24" t="s">
        <v>14</v>
      </c>
      <c r="C34" s="25"/>
      <c r="D34" s="6"/>
      <c r="E34" s="11">
        <f>E36+E41</f>
        <v>583500</v>
      </c>
    </row>
    <row r="35" spans="1:5" ht="15.75" hidden="1">
      <c r="A35" s="26"/>
      <c r="B35" s="24"/>
      <c r="C35" s="25"/>
      <c r="D35" s="6"/>
      <c r="E35" s="11">
        <f>-E34</f>
        <v>-583500</v>
      </c>
    </row>
    <row r="36" spans="1:5" ht="31.5">
      <c r="A36" s="27"/>
      <c r="B36" s="32" t="s">
        <v>196</v>
      </c>
      <c r="C36" s="25" t="s">
        <v>60</v>
      </c>
      <c r="D36" s="6"/>
      <c r="E36" s="14">
        <f>SUM(E38:E40)</f>
        <v>76200</v>
      </c>
    </row>
    <row r="37" spans="1:5" ht="15.75" hidden="1">
      <c r="A37" s="27"/>
      <c r="B37" s="32"/>
      <c r="C37" s="25"/>
      <c r="D37" s="6"/>
      <c r="E37" s="14">
        <f>-E36</f>
        <v>-76200</v>
      </c>
    </row>
    <row r="38" spans="1:5" ht="15.75">
      <c r="A38" s="27"/>
      <c r="B38" s="29" t="s">
        <v>61</v>
      </c>
      <c r="C38" s="25"/>
      <c r="D38" s="6" t="s">
        <v>62</v>
      </c>
      <c r="E38" s="15">
        <f>46000+6200</f>
        <v>52200</v>
      </c>
    </row>
    <row r="39" spans="1:5" ht="31.5" hidden="1">
      <c r="A39" s="27"/>
      <c r="B39" s="29" t="s">
        <v>116</v>
      </c>
      <c r="C39" s="25"/>
      <c r="D39" s="6" t="s">
        <v>117</v>
      </c>
      <c r="E39" s="15">
        <v>0</v>
      </c>
    </row>
    <row r="40" spans="1:5" ht="47.25">
      <c r="A40" s="27"/>
      <c r="B40" s="29" t="s">
        <v>63</v>
      </c>
      <c r="C40" s="25"/>
      <c r="D40" s="6" t="s">
        <v>64</v>
      </c>
      <c r="E40" s="15">
        <v>24000</v>
      </c>
    </row>
    <row r="41" spans="1:5" ht="31.5">
      <c r="A41" s="27"/>
      <c r="B41" s="32" t="s">
        <v>15</v>
      </c>
      <c r="C41" s="25" t="s">
        <v>16</v>
      </c>
      <c r="D41" s="6"/>
      <c r="E41" s="14">
        <f>SUM(E43:E47)</f>
        <v>507300</v>
      </c>
    </row>
    <row r="42" spans="1:5" ht="15.75" hidden="1">
      <c r="A42" s="27"/>
      <c r="B42" s="32"/>
      <c r="C42" s="25"/>
      <c r="D42" s="6"/>
      <c r="E42" s="14">
        <f>-E41</f>
        <v>-507300</v>
      </c>
    </row>
    <row r="43" spans="1:5" ht="15.75">
      <c r="A43" s="27"/>
      <c r="B43" s="29" t="s">
        <v>65</v>
      </c>
      <c r="C43" s="25"/>
      <c r="D43" s="6" t="s">
        <v>66</v>
      </c>
      <c r="E43" s="15">
        <v>3000</v>
      </c>
    </row>
    <row r="44" spans="1:5" ht="15.75">
      <c r="A44" s="27"/>
      <c r="B44" s="29" t="s">
        <v>54</v>
      </c>
      <c r="C44" s="25"/>
      <c r="D44" s="6" t="s">
        <v>55</v>
      </c>
      <c r="E44" s="15">
        <v>50000</v>
      </c>
    </row>
    <row r="45" spans="1:5" ht="15.75">
      <c r="A45" s="27"/>
      <c r="B45" s="29" t="s">
        <v>56</v>
      </c>
      <c r="C45" s="25"/>
      <c r="D45" s="6" t="s">
        <v>57</v>
      </c>
      <c r="E45" s="15">
        <f>20000+13300</f>
        <v>33300</v>
      </c>
    </row>
    <row r="46" spans="1:12" s="34" customFormat="1" ht="15.75">
      <c r="A46" s="33"/>
      <c r="B46" s="29" t="s">
        <v>68</v>
      </c>
      <c r="C46" s="25"/>
      <c r="D46" s="6" t="s">
        <v>67</v>
      </c>
      <c r="E46" s="15">
        <f>30000-20000+10000+7000+4000</f>
        <v>31000</v>
      </c>
      <c r="F46" s="51"/>
      <c r="G46" s="51"/>
      <c r="H46" s="51"/>
      <c r="I46" s="51"/>
      <c r="J46" s="51"/>
      <c r="K46" s="51"/>
      <c r="L46" s="51"/>
    </row>
    <row r="47" spans="1:12" s="67" customFormat="1" ht="31.5">
      <c r="A47" s="33"/>
      <c r="B47" s="39" t="s">
        <v>119</v>
      </c>
      <c r="C47" s="37"/>
      <c r="D47" s="38" t="s">
        <v>120</v>
      </c>
      <c r="E47" s="17">
        <v>390000</v>
      </c>
      <c r="F47" s="66"/>
      <c r="G47" s="66"/>
      <c r="H47" s="66"/>
      <c r="I47" s="66"/>
      <c r="J47" s="66"/>
      <c r="K47" s="66"/>
      <c r="L47" s="66"/>
    </row>
    <row r="48" spans="1:5" ht="15.75">
      <c r="A48" s="35" t="s">
        <v>17</v>
      </c>
      <c r="B48" s="36" t="s">
        <v>18</v>
      </c>
      <c r="C48" s="37"/>
      <c r="D48" s="38"/>
      <c r="E48" s="16">
        <f>E50+E53+E57+E60</f>
        <v>113500</v>
      </c>
    </row>
    <row r="49" spans="1:5" ht="15.75" hidden="1">
      <c r="A49" s="26"/>
      <c r="B49" s="36"/>
      <c r="C49" s="37"/>
      <c r="D49" s="38"/>
      <c r="E49" s="16">
        <f>-E48</f>
        <v>-113500</v>
      </c>
    </row>
    <row r="50" spans="1:5" ht="31.5">
      <c r="A50" s="27"/>
      <c r="B50" s="32" t="s">
        <v>69</v>
      </c>
      <c r="C50" s="25" t="s">
        <v>70</v>
      </c>
      <c r="D50" s="6"/>
      <c r="E50" s="14">
        <f>SUM(E52)</f>
        <v>10000</v>
      </c>
    </row>
    <row r="51" spans="1:5" ht="15.75" hidden="1">
      <c r="A51" s="27"/>
      <c r="B51" s="32"/>
      <c r="C51" s="25"/>
      <c r="D51" s="6"/>
      <c r="E51" s="14">
        <f>-E50</f>
        <v>-10000</v>
      </c>
    </row>
    <row r="52" spans="1:5" ht="15.75">
      <c r="A52" s="27"/>
      <c r="B52" s="29" t="s">
        <v>56</v>
      </c>
      <c r="C52" s="25"/>
      <c r="D52" s="6" t="s">
        <v>57</v>
      </c>
      <c r="E52" s="15">
        <v>10000</v>
      </c>
    </row>
    <row r="53" spans="1:5" ht="31.5">
      <c r="A53" s="27"/>
      <c r="B53" s="32" t="s">
        <v>71</v>
      </c>
      <c r="C53" s="25" t="s">
        <v>72</v>
      </c>
      <c r="D53" s="6"/>
      <c r="E53" s="14">
        <f>SUM(E55:E56)</f>
        <v>73000</v>
      </c>
    </row>
    <row r="54" spans="1:5" ht="15.75" hidden="1">
      <c r="A54" s="27"/>
      <c r="B54" s="32"/>
      <c r="C54" s="25"/>
      <c r="D54" s="6"/>
      <c r="E54" s="14">
        <f>-E53</f>
        <v>-73000</v>
      </c>
    </row>
    <row r="55" spans="1:5" ht="15.75">
      <c r="A55" s="27"/>
      <c r="B55" s="29" t="s">
        <v>56</v>
      </c>
      <c r="C55" s="25"/>
      <c r="D55" s="6" t="s">
        <v>57</v>
      </c>
      <c r="E55" s="15">
        <f>30000+15000</f>
        <v>45000</v>
      </c>
    </row>
    <row r="56" spans="1:5" ht="31.5">
      <c r="A56" s="27"/>
      <c r="B56" s="29" t="s">
        <v>73</v>
      </c>
      <c r="C56" s="25"/>
      <c r="D56" s="6" t="s">
        <v>74</v>
      </c>
      <c r="E56" s="15">
        <f>25000+3000</f>
        <v>28000</v>
      </c>
    </row>
    <row r="57" spans="1:5" ht="15.75">
      <c r="A57" s="27"/>
      <c r="B57" s="32" t="s">
        <v>19</v>
      </c>
      <c r="C57" s="25" t="s">
        <v>20</v>
      </c>
      <c r="D57" s="6"/>
      <c r="E57" s="14">
        <f>SUM(E59:E59)</f>
        <v>25000</v>
      </c>
    </row>
    <row r="58" spans="1:5" ht="15.75" hidden="1">
      <c r="A58" s="27"/>
      <c r="B58" s="32"/>
      <c r="C58" s="25"/>
      <c r="D58" s="6"/>
      <c r="E58" s="14">
        <f>-E57</f>
        <v>-25000</v>
      </c>
    </row>
    <row r="59" spans="1:5" ht="15.75">
      <c r="A59" s="27"/>
      <c r="B59" s="29" t="s">
        <v>56</v>
      </c>
      <c r="C59" s="25"/>
      <c r="D59" s="6" t="s">
        <v>57</v>
      </c>
      <c r="E59" s="15">
        <v>25000</v>
      </c>
    </row>
    <row r="60" spans="1:12" s="64" customFormat="1" ht="15.75">
      <c r="A60" s="62"/>
      <c r="B60" s="9" t="s">
        <v>8</v>
      </c>
      <c r="C60" s="25" t="s">
        <v>210</v>
      </c>
      <c r="D60" s="25"/>
      <c r="E60" s="14">
        <f>SUM(E62)</f>
        <v>5500</v>
      </c>
      <c r="F60" s="63"/>
      <c r="G60" s="63"/>
      <c r="H60" s="63"/>
      <c r="I60" s="63"/>
      <c r="J60" s="63"/>
      <c r="K60" s="63"/>
      <c r="L60" s="63"/>
    </row>
    <row r="61" spans="1:5" ht="15.75" hidden="1">
      <c r="A61" s="27"/>
      <c r="B61" s="29"/>
      <c r="C61" s="25"/>
      <c r="D61" s="6"/>
      <c r="E61" s="15">
        <f>-E60</f>
        <v>-5500</v>
      </c>
    </row>
    <row r="62" spans="1:5" ht="63">
      <c r="A62" s="27"/>
      <c r="B62" s="29" t="s">
        <v>212</v>
      </c>
      <c r="C62" s="25"/>
      <c r="D62" s="6" t="s">
        <v>211</v>
      </c>
      <c r="E62" s="15">
        <v>5500</v>
      </c>
    </row>
    <row r="63" spans="1:5" ht="15.75">
      <c r="A63" s="23" t="s">
        <v>21</v>
      </c>
      <c r="B63" s="24" t="s">
        <v>22</v>
      </c>
      <c r="C63" s="25"/>
      <c r="D63" s="6"/>
      <c r="E63" s="11">
        <f>E65+E83+E86+E97+E124+E127</f>
        <v>2819527</v>
      </c>
    </row>
    <row r="64" spans="1:5" ht="15.75" hidden="1">
      <c r="A64" s="26"/>
      <c r="B64" s="24"/>
      <c r="C64" s="25"/>
      <c r="D64" s="6"/>
      <c r="E64" s="11">
        <f>-E63</f>
        <v>-2819527</v>
      </c>
    </row>
    <row r="65" spans="1:5" ht="15.75">
      <c r="A65" s="27"/>
      <c r="B65" s="32" t="s">
        <v>23</v>
      </c>
      <c r="C65" s="25" t="s">
        <v>24</v>
      </c>
      <c r="D65" s="6"/>
      <c r="E65" s="14">
        <f>SUM(E67:E82)</f>
        <v>198266</v>
      </c>
    </row>
    <row r="66" spans="1:5" ht="15.75" hidden="1">
      <c r="A66" s="27"/>
      <c r="B66" s="32"/>
      <c r="C66" s="25"/>
      <c r="D66" s="6"/>
      <c r="E66" s="14">
        <f>-E65</f>
        <v>-198266</v>
      </c>
    </row>
    <row r="67" spans="1:5" ht="31.5">
      <c r="A67" s="27"/>
      <c r="B67" s="29" t="s">
        <v>206</v>
      </c>
      <c r="C67" s="25"/>
      <c r="D67" s="6" t="s">
        <v>136</v>
      </c>
      <c r="E67" s="15">
        <v>1950</v>
      </c>
    </row>
    <row r="68" spans="1:5" ht="15.75">
      <c r="A68" s="27"/>
      <c r="B68" s="29" t="s">
        <v>75</v>
      </c>
      <c r="C68" s="25"/>
      <c r="D68" s="6" t="s">
        <v>76</v>
      </c>
      <c r="E68" s="15">
        <v>135589</v>
      </c>
    </row>
    <row r="69" spans="1:5" ht="15.75">
      <c r="A69" s="27"/>
      <c r="B69" s="29" t="s">
        <v>77</v>
      </c>
      <c r="C69" s="25"/>
      <c r="D69" s="6" t="s">
        <v>78</v>
      </c>
      <c r="E69" s="15">
        <v>7100</v>
      </c>
    </row>
    <row r="70" spans="1:5" ht="15.75">
      <c r="A70" s="27"/>
      <c r="B70" s="29" t="s">
        <v>79</v>
      </c>
      <c r="C70" s="25"/>
      <c r="D70" s="6" t="s">
        <v>80</v>
      </c>
      <c r="E70" s="15">
        <v>18447</v>
      </c>
    </row>
    <row r="71" spans="1:5" ht="15.75">
      <c r="A71" s="27"/>
      <c r="B71" s="29" t="s">
        <v>81</v>
      </c>
      <c r="C71" s="25"/>
      <c r="D71" s="6" t="s">
        <v>82</v>
      </c>
      <c r="E71" s="15">
        <v>2896</v>
      </c>
    </row>
    <row r="72" spans="1:5" ht="15.75">
      <c r="A72" s="27"/>
      <c r="B72" s="29" t="s">
        <v>83</v>
      </c>
      <c r="C72" s="25"/>
      <c r="D72" s="6" t="s">
        <v>84</v>
      </c>
      <c r="E72" s="15">
        <v>5100</v>
      </c>
    </row>
    <row r="73" spans="1:5" ht="15.75">
      <c r="A73" s="27"/>
      <c r="B73" s="29" t="s">
        <v>65</v>
      </c>
      <c r="C73" s="25"/>
      <c r="D73" s="6" t="s">
        <v>66</v>
      </c>
      <c r="E73" s="15">
        <f>2500+1850+800+700</f>
        <v>5850</v>
      </c>
    </row>
    <row r="74" spans="1:5" ht="15.75">
      <c r="A74" s="27"/>
      <c r="B74" s="29" t="s">
        <v>85</v>
      </c>
      <c r="C74" s="25"/>
      <c r="D74" s="6" t="s">
        <v>86</v>
      </c>
      <c r="E74" s="15">
        <v>200</v>
      </c>
    </row>
    <row r="75" spans="1:5" ht="15.75">
      <c r="A75" s="27"/>
      <c r="B75" s="29" t="s">
        <v>56</v>
      </c>
      <c r="C75" s="25"/>
      <c r="D75" s="6" t="s">
        <v>57</v>
      </c>
      <c r="E75" s="15">
        <f>2200+500</f>
        <v>2700</v>
      </c>
    </row>
    <row r="76" spans="1:5" ht="31.5">
      <c r="A76" s="27"/>
      <c r="B76" s="29" t="s">
        <v>87</v>
      </c>
      <c r="C76" s="25"/>
      <c r="D76" s="6" t="s">
        <v>88</v>
      </c>
      <c r="E76" s="15">
        <f>500+300-200</f>
        <v>600</v>
      </c>
    </row>
    <row r="77" spans="1:5" ht="42.75" customHeight="1">
      <c r="A77" s="27"/>
      <c r="B77" s="29" t="s">
        <v>89</v>
      </c>
      <c r="C77" s="25"/>
      <c r="D77" s="6" t="s">
        <v>90</v>
      </c>
      <c r="E77" s="15">
        <f>1900+400</f>
        <v>2300</v>
      </c>
    </row>
    <row r="78" spans="1:5" ht="15.75">
      <c r="A78" s="27"/>
      <c r="B78" s="29" t="s">
        <v>91</v>
      </c>
      <c r="C78" s="25"/>
      <c r="D78" s="6" t="s">
        <v>92</v>
      </c>
      <c r="E78" s="15">
        <f>4000+500+800</f>
        <v>5300</v>
      </c>
    </row>
    <row r="79" spans="1:5" ht="31.5">
      <c r="A79" s="27"/>
      <c r="B79" s="29" t="s">
        <v>93</v>
      </c>
      <c r="C79" s="25"/>
      <c r="D79" s="6" t="s">
        <v>94</v>
      </c>
      <c r="E79" s="15">
        <v>3584</v>
      </c>
    </row>
    <row r="80" spans="1:5" ht="31.5">
      <c r="A80" s="27"/>
      <c r="B80" s="29" t="s">
        <v>118</v>
      </c>
      <c r="C80" s="25"/>
      <c r="D80" s="6" t="s">
        <v>95</v>
      </c>
      <c r="E80" s="15">
        <f>1000+3000-1700</f>
        <v>2300</v>
      </c>
    </row>
    <row r="81" spans="1:5" ht="31.5">
      <c r="A81" s="27"/>
      <c r="B81" s="29" t="s">
        <v>97</v>
      </c>
      <c r="C81" s="25"/>
      <c r="D81" s="6" t="s">
        <v>96</v>
      </c>
      <c r="E81" s="15">
        <v>450</v>
      </c>
    </row>
    <row r="82" spans="1:5" ht="31.5">
      <c r="A82" s="27"/>
      <c r="B82" s="29" t="s">
        <v>98</v>
      </c>
      <c r="C82" s="25"/>
      <c r="D82" s="6" t="s">
        <v>99</v>
      </c>
      <c r="E82" s="15">
        <f>1000+700-1300+3500</f>
        <v>3900</v>
      </c>
    </row>
    <row r="83" spans="1:5" ht="15.75">
      <c r="A83" s="27"/>
      <c r="B83" s="32" t="s">
        <v>100</v>
      </c>
      <c r="C83" s="25" t="s">
        <v>101</v>
      </c>
      <c r="D83" s="6"/>
      <c r="E83" s="14">
        <f>SUM(E85)</f>
        <v>21000</v>
      </c>
    </row>
    <row r="84" spans="1:5" ht="15.75" hidden="1">
      <c r="A84" s="27"/>
      <c r="B84" s="32"/>
      <c r="C84" s="25"/>
      <c r="D84" s="6"/>
      <c r="E84" s="14">
        <f>-E83</f>
        <v>-21000</v>
      </c>
    </row>
    <row r="85" spans="1:5" ht="63">
      <c r="A85" s="27"/>
      <c r="B85" s="29" t="s">
        <v>102</v>
      </c>
      <c r="C85" s="25"/>
      <c r="D85" s="6" t="s">
        <v>50</v>
      </c>
      <c r="E85" s="15">
        <v>21000</v>
      </c>
    </row>
    <row r="86" spans="1:5" ht="15.75">
      <c r="A86" s="27"/>
      <c r="B86" s="32" t="s">
        <v>103</v>
      </c>
      <c r="C86" s="25" t="s">
        <v>104</v>
      </c>
      <c r="D86" s="6"/>
      <c r="E86" s="14">
        <f>SUM(E88:E96)</f>
        <v>155043</v>
      </c>
    </row>
    <row r="87" spans="1:5" ht="15.75" hidden="1">
      <c r="A87" s="27"/>
      <c r="B87" s="32"/>
      <c r="C87" s="25"/>
      <c r="D87" s="6"/>
      <c r="E87" s="14">
        <f>-E86</f>
        <v>-155043</v>
      </c>
    </row>
    <row r="88" spans="1:5" ht="15.75">
      <c r="A88" s="27"/>
      <c r="B88" s="29" t="s">
        <v>105</v>
      </c>
      <c r="C88" s="25"/>
      <c r="D88" s="6" t="s">
        <v>106</v>
      </c>
      <c r="E88" s="15">
        <v>136143</v>
      </c>
    </row>
    <row r="89" spans="1:5" ht="15.75">
      <c r="A89" s="27"/>
      <c r="B89" s="29" t="s">
        <v>65</v>
      </c>
      <c r="C89" s="25"/>
      <c r="D89" s="6" t="s">
        <v>66</v>
      </c>
      <c r="E89" s="15">
        <v>4500</v>
      </c>
    </row>
    <row r="90" spans="1:5" ht="15.75">
      <c r="A90" s="27"/>
      <c r="B90" s="29" t="s">
        <v>56</v>
      </c>
      <c r="C90" s="25"/>
      <c r="D90" s="6" t="s">
        <v>57</v>
      </c>
      <c r="E90" s="15">
        <f>2500+1800</f>
        <v>4300</v>
      </c>
    </row>
    <row r="91" spans="1:5" ht="31.5">
      <c r="A91" s="27"/>
      <c r="B91" s="29" t="s">
        <v>87</v>
      </c>
      <c r="C91" s="25"/>
      <c r="D91" s="6" t="s">
        <v>88</v>
      </c>
      <c r="E91" s="15">
        <f>2000+500</f>
        <v>2500</v>
      </c>
    </row>
    <row r="92" spans="1:5" ht="36" customHeight="1">
      <c r="A92" s="27"/>
      <c r="B92" s="29" t="s">
        <v>89</v>
      </c>
      <c r="C92" s="25"/>
      <c r="D92" s="6" t="s">
        <v>90</v>
      </c>
      <c r="E92" s="15">
        <v>2000</v>
      </c>
    </row>
    <row r="93" spans="1:5" ht="15.75">
      <c r="A93" s="27"/>
      <c r="B93" s="29" t="s">
        <v>108</v>
      </c>
      <c r="C93" s="25"/>
      <c r="D93" s="6" t="s">
        <v>92</v>
      </c>
      <c r="E93" s="15">
        <f>1900+600</f>
        <v>2500</v>
      </c>
    </row>
    <row r="94" spans="1:5" ht="15.75">
      <c r="A94" s="27"/>
      <c r="B94" s="29" t="s">
        <v>107</v>
      </c>
      <c r="C94" s="25"/>
      <c r="D94" s="6" t="s">
        <v>109</v>
      </c>
      <c r="E94" s="15">
        <v>1500</v>
      </c>
    </row>
    <row r="95" spans="1:5" ht="31.5">
      <c r="A95" s="27"/>
      <c r="B95" s="29" t="s">
        <v>97</v>
      </c>
      <c r="C95" s="25"/>
      <c r="D95" s="6" t="s">
        <v>96</v>
      </c>
      <c r="E95" s="15">
        <v>1000</v>
      </c>
    </row>
    <row r="96" spans="1:5" ht="31.5">
      <c r="A96" s="27"/>
      <c r="B96" s="29" t="s">
        <v>98</v>
      </c>
      <c r="C96" s="25"/>
      <c r="D96" s="6" t="s">
        <v>99</v>
      </c>
      <c r="E96" s="15">
        <v>600</v>
      </c>
    </row>
    <row r="97" spans="1:5" ht="15.75">
      <c r="A97" s="27"/>
      <c r="B97" s="32" t="s">
        <v>25</v>
      </c>
      <c r="C97" s="25" t="s">
        <v>26</v>
      </c>
      <c r="D97" s="6"/>
      <c r="E97" s="14">
        <f>SUM(E99:E123)</f>
        <v>2435846</v>
      </c>
    </row>
    <row r="98" spans="1:5" ht="15.75" hidden="1">
      <c r="A98" s="27"/>
      <c r="B98" s="32"/>
      <c r="C98" s="25"/>
      <c r="D98" s="6"/>
      <c r="E98" s="14">
        <f>-E97</f>
        <v>-2435846</v>
      </c>
    </row>
    <row r="99" spans="1:5" ht="31.5">
      <c r="A99" s="27"/>
      <c r="B99" s="65" t="s">
        <v>135</v>
      </c>
      <c r="C99" s="6"/>
      <c r="D99" s="6" t="s">
        <v>136</v>
      </c>
      <c r="E99" s="15">
        <v>150</v>
      </c>
    </row>
    <row r="100" spans="1:5" ht="15.75">
      <c r="A100" s="27"/>
      <c r="B100" s="29" t="s">
        <v>75</v>
      </c>
      <c r="C100" s="25"/>
      <c r="D100" s="6" t="s">
        <v>76</v>
      </c>
      <c r="E100" s="15">
        <v>1170000</v>
      </c>
    </row>
    <row r="101" spans="1:5" ht="15.75">
      <c r="A101" s="27"/>
      <c r="B101" s="29" t="s">
        <v>77</v>
      </c>
      <c r="C101" s="25"/>
      <c r="D101" s="6" t="s">
        <v>78</v>
      </c>
      <c r="E101" s="15">
        <f>99570-1635</f>
        <v>97935</v>
      </c>
    </row>
    <row r="102" spans="1:5" ht="15.75">
      <c r="A102" s="27"/>
      <c r="B102" s="29" t="s">
        <v>79</v>
      </c>
      <c r="C102" s="25"/>
      <c r="D102" s="6" t="s">
        <v>80</v>
      </c>
      <c r="E102" s="15">
        <v>191360</v>
      </c>
    </row>
    <row r="103" spans="1:5" ht="15.75">
      <c r="A103" s="27"/>
      <c r="B103" s="29" t="s">
        <v>81</v>
      </c>
      <c r="C103" s="25"/>
      <c r="D103" s="6" t="s">
        <v>82</v>
      </c>
      <c r="E103" s="15">
        <v>40600</v>
      </c>
    </row>
    <row r="104" spans="1:5" ht="15.75">
      <c r="A104" s="27"/>
      <c r="B104" s="29" t="s">
        <v>110</v>
      </c>
      <c r="C104" s="25"/>
      <c r="D104" s="6" t="s">
        <v>111</v>
      </c>
      <c r="E104" s="15">
        <f>54300+20000</f>
        <v>74300</v>
      </c>
    </row>
    <row r="105" spans="1:12" s="34" customFormat="1" ht="15.75">
      <c r="A105" s="27"/>
      <c r="B105" s="29" t="s">
        <v>83</v>
      </c>
      <c r="C105" s="25"/>
      <c r="D105" s="6" t="s">
        <v>84</v>
      </c>
      <c r="E105" s="15">
        <v>86500</v>
      </c>
      <c r="F105" s="51"/>
      <c r="G105" s="51"/>
      <c r="H105" s="51"/>
      <c r="I105" s="51"/>
      <c r="J105" s="51"/>
      <c r="K105" s="51"/>
      <c r="L105" s="51"/>
    </row>
    <row r="106" spans="1:5" ht="15.75">
      <c r="A106" s="27"/>
      <c r="B106" s="39" t="s">
        <v>65</v>
      </c>
      <c r="C106" s="37"/>
      <c r="D106" s="38" t="s">
        <v>66</v>
      </c>
      <c r="E106" s="17">
        <f>80000-3500</f>
        <v>76500</v>
      </c>
    </row>
    <row r="107" spans="1:5" ht="15.75">
      <c r="A107" s="27"/>
      <c r="B107" s="29" t="s">
        <v>112</v>
      </c>
      <c r="C107" s="25"/>
      <c r="D107" s="6" t="s">
        <v>114</v>
      </c>
      <c r="E107" s="15">
        <f>86000+20000</f>
        <v>106000</v>
      </c>
    </row>
    <row r="108" spans="1:5" ht="15.75">
      <c r="A108" s="27"/>
      <c r="B108" s="29" t="s">
        <v>54</v>
      </c>
      <c r="C108" s="25"/>
      <c r="D108" s="6" t="s">
        <v>55</v>
      </c>
      <c r="E108" s="15">
        <v>3600</v>
      </c>
    </row>
    <row r="109" spans="1:5" ht="15.75">
      <c r="A109" s="27"/>
      <c r="B109" s="29" t="s">
        <v>85</v>
      </c>
      <c r="C109" s="25"/>
      <c r="D109" s="6" t="s">
        <v>86</v>
      </c>
      <c r="E109" s="15">
        <f>120+1500+300</f>
        <v>1920</v>
      </c>
    </row>
    <row r="110" spans="1:5" ht="15.75">
      <c r="A110" s="27"/>
      <c r="B110" s="29" t="s">
        <v>56</v>
      </c>
      <c r="C110" s="25"/>
      <c r="D110" s="6" t="s">
        <v>57</v>
      </c>
      <c r="E110" s="15">
        <f>150000-1599-2703-5500-4566-3500+7500-750+1000+10000+10000+33200</f>
        <v>193082</v>
      </c>
    </row>
    <row r="111" spans="1:5" ht="15.75">
      <c r="A111" s="27"/>
      <c r="B111" s="29" t="s">
        <v>113</v>
      </c>
      <c r="C111" s="25"/>
      <c r="D111" s="6" t="s">
        <v>115</v>
      </c>
      <c r="E111" s="15">
        <v>18000</v>
      </c>
    </row>
    <row r="112" spans="1:5" ht="31.5">
      <c r="A112" s="27"/>
      <c r="B112" s="29" t="s">
        <v>87</v>
      </c>
      <c r="C112" s="25"/>
      <c r="D112" s="6" t="s">
        <v>88</v>
      </c>
      <c r="E112" s="15">
        <f>26500-1000</f>
        <v>25500</v>
      </c>
    </row>
    <row r="113" spans="1:5" ht="31.5">
      <c r="A113" s="27"/>
      <c r="B113" s="29" t="s">
        <v>89</v>
      </c>
      <c r="C113" s="25"/>
      <c r="D113" s="6" t="s">
        <v>90</v>
      </c>
      <c r="E113" s="15">
        <v>78000</v>
      </c>
    </row>
    <row r="114" spans="1:5" ht="15.75">
      <c r="A114" s="27"/>
      <c r="B114" s="29" t="s">
        <v>108</v>
      </c>
      <c r="C114" s="25"/>
      <c r="D114" s="6" t="s">
        <v>92</v>
      </c>
      <c r="E114" s="15">
        <f>48000+1000+4000</f>
        <v>53000</v>
      </c>
    </row>
    <row r="115" spans="1:5" ht="15.75">
      <c r="A115" s="27"/>
      <c r="B115" s="29" t="s">
        <v>107</v>
      </c>
      <c r="C115" s="25"/>
      <c r="D115" s="6" t="s">
        <v>109</v>
      </c>
      <c r="E115" s="15">
        <v>5500</v>
      </c>
    </row>
    <row r="116" spans="1:5" ht="15.75">
      <c r="A116" s="27"/>
      <c r="B116" s="29" t="s">
        <v>61</v>
      </c>
      <c r="C116" s="25"/>
      <c r="D116" s="6" t="s">
        <v>62</v>
      </c>
      <c r="E116" s="15">
        <f>12000+65000+5000+10000-4000</f>
        <v>88000</v>
      </c>
    </row>
    <row r="117" spans="1:5" ht="31.5">
      <c r="A117" s="27"/>
      <c r="B117" s="29" t="s">
        <v>93</v>
      </c>
      <c r="C117" s="25"/>
      <c r="D117" s="6" t="s">
        <v>94</v>
      </c>
      <c r="E117" s="15">
        <v>64099</v>
      </c>
    </row>
    <row r="118" spans="1:5" ht="31.5">
      <c r="A118" s="27"/>
      <c r="B118" s="29" t="s">
        <v>116</v>
      </c>
      <c r="C118" s="25"/>
      <c r="D118" s="6" t="s">
        <v>117</v>
      </c>
      <c r="E118" s="15">
        <v>0</v>
      </c>
    </row>
    <row r="119" spans="1:5" ht="31.5">
      <c r="A119" s="27"/>
      <c r="B119" s="29" t="s">
        <v>118</v>
      </c>
      <c r="C119" s="25"/>
      <c r="D119" s="6" t="s">
        <v>95</v>
      </c>
      <c r="E119" s="15">
        <f>11000-3000+500+500+1000+1000</f>
        <v>11000</v>
      </c>
    </row>
    <row r="120" spans="1:5" ht="31.5">
      <c r="A120" s="27"/>
      <c r="B120" s="29" t="s">
        <v>97</v>
      </c>
      <c r="C120" s="25"/>
      <c r="D120" s="6" t="s">
        <v>96</v>
      </c>
      <c r="E120" s="15">
        <v>7000</v>
      </c>
    </row>
    <row r="121" spans="1:5" ht="31.5">
      <c r="A121" s="27"/>
      <c r="B121" s="29" t="s">
        <v>98</v>
      </c>
      <c r="C121" s="25"/>
      <c r="D121" s="6" t="s">
        <v>99</v>
      </c>
      <c r="E121" s="15">
        <f>32000-700-3800</f>
        <v>27500</v>
      </c>
    </row>
    <row r="122" spans="1:5" ht="15.75" hidden="1">
      <c r="A122" s="27"/>
      <c r="B122" s="29"/>
      <c r="C122" s="25"/>
      <c r="D122" s="6" t="s">
        <v>59</v>
      </c>
      <c r="E122" s="15"/>
    </row>
    <row r="123" spans="1:5" ht="31.5">
      <c r="A123" s="27"/>
      <c r="B123" s="29" t="s">
        <v>119</v>
      </c>
      <c r="C123" s="25"/>
      <c r="D123" s="6" t="s">
        <v>120</v>
      </c>
      <c r="E123" s="15">
        <f>7300+9000</f>
        <v>16300</v>
      </c>
    </row>
    <row r="124" spans="1:12" s="19" customFormat="1" ht="15.75">
      <c r="A124" s="27"/>
      <c r="B124" s="32" t="s">
        <v>121</v>
      </c>
      <c r="C124" s="25" t="s">
        <v>122</v>
      </c>
      <c r="D124" s="6"/>
      <c r="E124" s="14">
        <f>SUM(E126)</f>
        <v>1000</v>
      </c>
      <c r="F124" s="52"/>
      <c r="G124" s="52"/>
      <c r="H124" s="52"/>
      <c r="I124" s="52"/>
      <c r="J124" s="52"/>
      <c r="K124" s="52"/>
      <c r="L124" s="52"/>
    </row>
    <row r="125" spans="1:12" s="19" customFormat="1" ht="15.75" hidden="1">
      <c r="A125" s="27"/>
      <c r="B125" s="32"/>
      <c r="C125" s="25"/>
      <c r="D125" s="6"/>
      <c r="E125" s="14">
        <f>-E124</f>
        <v>-1000</v>
      </c>
      <c r="F125" s="52"/>
      <c r="G125" s="52"/>
      <c r="H125" s="52"/>
      <c r="I125" s="52"/>
      <c r="J125" s="52"/>
      <c r="K125" s="52"/>
      <c r="L125" s="52"/>
    </row>
    <row r="126" spans="1:5" ht="15.75">
      <c r="A126" s="27"/>
      <c r="B126" s="29" t="s">
        <v>105</v>
      </c>
      <c r="C126" s="25"/>
      <c r="D126" s="6" t="s">
        <v>106</v>
      </c>
      <c r="E126" s="15">
        <v>1000</v>
      </c>
    </row>
    <row r="127" spans="1:12" s="58" customFormat="1" ht="15.75">
      <c r="A127" s="54"/>
      <c r="B127" s="9" t="s">
        <v>8</v>
      </c>
      <c r="C127" s="25" t="s">
        <v>197</v>
      </c>
      <c r="D127" s="55"/>
      <c r="E127" s="14">
        <f>SUM(E129:E132)</f>
        <v>8372</v>
      </c>
      <c r="F127" s="57"/>
      <c r="G127" s="57"/>
      <c r="H127" s="57"/>
      <c r="I127" s="57"/>
      <c r="J127" s="57"/>
      <c r="K127" s="57"/>
      <c r="L127" s="57"/>
    </row>
    <row r="128" spans="1:5" ht="15.75" hidden="1">
      <c r="A128" s="27"/>
      <c r="B128" s="32"/>
      <c r="C128" s="25"/>
      <c r="D128" s="6"/>
      <c r="E128" s="14">
        <f>-E127</f>
        <v>-8372</v>
      </c>
    </row>
    <row r="129" spans="1:5" ht="15.75">
      <c r="A129" s="27"/>
      <c r="B129" s="29" t="s">
        <v>83</v>
      </c>
      <c r="C129" s="25"/>
      <c r="D129" s="6" t="s">
        <v>198</v>
      </c>
      <c r="E129" s="15">
        <v>2100</v>
      </c>
    </row>
    <row r="130" spans="1:5" ht="15.75">
      <c r="A130" s="27"/>
      <c r="B130" s="29" t="s">
        <v>65</v>
      </c>
      <c r="C130" s="25"/>
      <c r="D130" s="6" t="s">
        <v>199</v>
      </c>
      <c r="E130" s="15">
        <f>1043+579+1260+700-310</f>
        <v>3272</v>
      </c>
    </row>
    <row r="131" spans="1:5" ht="15.75">
      <c r="A131" s="27"/>
      <c r="B131" s="29" t="s">
        <v>56</v>
      </c>
      <c r="C131" s="25"/>
      <c r="D131" s="6" t="s">
        <v>216</v>
      </c>
      <c r="E131" s="15">
        <v>2400</v>
      </c>
    </row>
    <row r="132" spans="1:5" ht="15.75">
      <c r="A132" s="27"/>
      <c r="B132" s="29" t="s">
        <v>227</v>
      </c>
      <c r="C132" s="25"/>
      <c r="D132" s="6" t="s">
        <v>226</v>
      </c>
      <c r="E132" s="15">
        <v>600</v>
      </c>
    </row>
    <row r="133" spans="1:5" ht="63">
      <c r="A133" s="23" t="s">
        <v>27</v>
      </c>
      <c r="B133" s="40" t="s">
        <v>28</v>
      </c>
      <c r="C133" s="25"/>
      <c r="D133" s="6"/>
      <c r="E133" s="18">
        <f>E135+E141</f>
        <v>17883</v>
      </c>
    </row>
    <row r="134" spans="1:5" ht="15.75" hidden="1">
      <c r="A134" s="26"/>
      <c r="B134" s="40"/>
      <c r="C134" s="25"/>
      <c r="D134" s="6"/>
      <c r="E134" s="18">
        <f>-E133</f>
        <v>-17883</v>
      </c>
    </row>
    <row r="135" spans="1:5" ht="36.75" customHeight="1">
      <c r="A135" s="27"/>
      <c r="B135" s="32" t="s">
        <v>29</v>
      </c>
      <c r="C135" s="25" t="s">
        <v>30</v>
      </c>
      <c r="D135" s="6"/>
      <c r="E135" s="56">
        <f>SUM(E137:E140)</f>
        <v>1490</v>
      </c>
    </row>
    <row r="136" spans="1:5" ht="15.75" hidden="1">
      <c r="A136" s="27"/>
      <c r="B136" s="32"/>
      <c r="C136" s="25"/>
      <c r="D136" s="6"/>
      <c r="E136" s="56">
        <f>-E135</f>
        <v>-1490</v>
      </c>
    </row>
    <row r="137" spans="1:5" ht="15.75">
      <c r="A137" s="27"/>
      <c r="B137" s="29" t="s">
        <v>65</v>
      </c>
      <c r="C137" s="25"/>
      <c r="D137" s="6" t="s">
        <v>66</v>
      </c>
      <c r="E137" s="70">
        <f>238+202</f>
        <v>440</v>
      </c>
    </row>
    <row r="138" spans="1:5" ht="15.75" hidden="1">
      <c r="A138" s="27"/>
      <c r="B138" s="29" t="s">
        <v>56</v>
      </c>
      <c r="C138" s="25"/>
      <c r="D138" s="6" t="s">
        <v>57</v>
      </c>
      <c r="E138" s="70">
        <f>300-300</f>
        <v>0</v>
      </c>
    </row>
    <row r="139" spans="1:5" ht="31.5">
      <c r="A139" s="27"/>
      <c r="B139" s="29" t="s">
        <v>97</v>
      </c>
      <c r="C139" s="25"/>
      <c r="D139" s="6" t="s">
        <v>96</v>
      </c>
      <c r="E139" s="70">
        <f>150+300</f>
        <v>450</v>
      </c>
    </row>
    <row r="140" spans="1:5" ht="31.5">
      <c r="A140" s="27"/>
      <c r="B140" s="29" t="s">
        <v>98</v>
      </c>
      <c r="C140" s="25"/>
      <c r="D140" s="6" t="s">
        <v>99</v>
      </c>
      <c r="E140" s="70">
        <v>600</v>
      </c>
    </row>
    <row r="141" spans="1:5" ht="15.75">
      <c r="A141" s="27"/>
      <c r="B141" s="32" t="s">
        <v>220</v>
      </c>
      <c r="C141" s="25" t="s">
        <v>221</v>
      </c>
      <c r="D141" s="6"/>
      <c r="E141" s="56">
        <f>SUM(E143:E151)</f>
        <v>16393</v>
      </c>
    </row>
    <row r="142" spans="1:5" ht="15.75" hidden="1">
      <c r="A142" s="27"/>
      <c r="B142" s="32"/>
      <c r="C142" s="25"/>
      <c r="D142" s="6"/>
      <c r="E142" s="14">
        <f>-E141</f>
        <v>-16393</v>
      </c>
    </row>
    <row r="143" spans="1:5" ht="15.75">
      <c r="A143" s="27"/>
      <c r="B143" s="29" t="s">
        <v>105</v>
      </c>
      <c r="C143" s="25"/>
      <c r="D143" s="6" t="s">
        <v>106</v>
      </c>
      <c r="E143" s="70">
        <v>7920</v>
      </c>
    </row>
    <row r="144" spans="1:5" ht="15.75">
      <c r="A144" s="27"/>
      <c r="B144" s="39" t="s">
        <v>79</v>
      </c>
      <c r="C144" s="25"/>
      <c r="D144" s="6" t="s">
        <v>80</v>
      </c>
      <c r="E144" s="70">
        <v>128.35</v>
      </c>
    </row>
    <row r="145" spans="1:5" ht="15.75">
      <c r="A145" s="27"/>
      <c r="B145" s="29" t="s">
        <v>81</v>
      </c>
      <c r="C145" s="25"/>
      <c r="D145" s="6" t="s">
        <v>82</v>
      </c>
      <c r="E145" s="70">
        <v>20.82</v>
      </c>
    </row>
    <row r="146" spans="1:5" ht="15.75">
      <c r="A146" s="27"/>
      <c r="B146" s="29" t="s">
        <v>83</v>
      </c>
      <c r="C146" s="25"/>
      <c r="D146" s="6" t="s">
        <v>84</v>
      </c>
      <c r="E146" s="70">
        <v>850</v>
      </c>
    </row>
    <row r="147" spans="1:5" ht="15.75">
      <c r="A147" s="27"/>
      <c r="B147" s="29" t="s">
        <v>65</v>
      </c>
      <c r="C147" s="25"/>
      <c r="D147" s="6" t="s">
        <v>66</v>
      </c>
      <c r="E147" s="70">
        <v>4487.72</v>
      </c>
    </row>
    <row r="148" spans="1:5" ht="15.75">
      <c r="A148" s="27"/>
      <c r="B148" s="29" t="s">
        <v>56</v>
      </c>
      <c r="C148" s="25"/>
      <c r="D148" s="6" t="s">
        <v>57</v>
      </c>
      <c r="E148" s="70">
        <v>742</v>
      </c>
    </row>
    <row r="149" spans="1:5" ht="15.75">
      <c r="A149" s="27"/>
      <c r="B149" s="29" t="s">
        <v>108</v>
      </c>
      <c r="C149" s="25"/>
      <c r="D149" s="6" t="s">
        <v>92</v>
      </c>
      <c r="E149" s="70">
        <v>784.44</v>
      </c>
    </row>
    <row r="150" spans="1:5" ht="31.5">
      <c r="A150" s="27"/>
      <c r="B150" s="29" t="s">
        <v>97</v>
      </c>
      <c r="C150" s="25"/>
      <c r="D150" s="6" t="s">
        <v>96</v>
      </c>
      <c r="E150" s="70">
        <v>102.38</v>
      </c>
    </row>
    <row r="151" spans="1:5" ht="31.5">
      <c r="A151" s="27"/>
      <c r="B151" s="29" t="s">
        <v>98</v>
      </c>
      <c r="C151" s="25"/>
      <c r="D151" s="6" t="s">
        <v>99</v>
      </c>
      <c r="E151" s="70">
        <v>1357.29</v>
      </c>
    </row>
    <row r="152" spans="1:5" ht="31.5">
      <c r="A152" s="23" t="s">
        <v>123</v>
      </c>
      <c r="B152" s="41" t="s">
        <v>124</v>
      </c>
      <c r="C152" s="25"/>
      <c r="D152" s="6"/>
      <c r="E152" s="11">
        <f>E154+E157+E161+E175+E197</f>
        <v>1045001</v>
      </c>
    </row>
    <row r="153" spans="1:5" ht="15.75" hidden="1">
      <c r="A153" s="26"/>
      <c r="B153" s="41"/>
      <c r="C153" s="25"/>
      <c r="D153" s="6"/>
      <c r="E153" s="11">
        <f>-E152</f>
        <v>-1045001</v>
      </c>
    </row>
    <row r="154" spans="1:5" ht="15.75">
      <c r="A154" s="27"/>
      <c r="B154" s="32" t="s">
        <v>125</v>
      </c>
      <c r="C154" s="25" t="s">
        <v>126</v>
      </c>
      <c r="D154" s="6"/>
      <c r="E154" s="14">
        <f>SUM(E156)</f>
        <v>10500</v>
      </c>
    </row>
    <row r="155" spans="1:5" ht="15.75" hidden="1">
      <c r="A155" s="27"/>
      <c r="B155" s="32"/>
      <c r="C155" s="25"/>
      <c r="D155" s="6"/>
      <c r="E155" s="14">
        <f>-E154</f>
        <v>-10500</v>
      </c>
    </row>
    <row r="156" spans="1:5" ht="15.75">
      <c r="A156" s="27"/>
      <c r="B156" s="29" t="s">
        <v>65</v>
      </c>
      <c r="C156" s="25"/>
      <c r="D156" s="6" t="s">
        <v>66</v>
      </c>
      <c r="E156" s="15">
        <f>10000+500</f>
        <v>10500</v>
      </c>
    </row>
    <row r="157" spans="1:5" ht="15.75">
      <c r="A157" s="27"/>
      <c r="B157" s="32" t="s">
        <v>202</v>
      </c>
      <c r="C157" s="25" t="s">
        <v>201</v>
      </c>
      <c r="D157" s="25"/>
      <c r="E157" s="14">
        <f>E159</f>
        <v>8000</v>
      </c>
    </row>
    <row r="158" spans="1:5" ht="15.75" hidden="1">
      <c r="A158" s="27"/>
      <c r="B158" s="32"/>
      <c r="C158" s="25"/>
      <c r="D158" s="25"/>
      <c r="E158" s="14">
        <f>-E157</f>
        <v>-8000</v>
      </c>
    </row>
    <row r="159" spans="1:6" ht="47.25">
      <c r="A159" s="27"/>
      <c r="B159" s="29" t="s">
        <v>129</v>
      </c>
      <c r="C159" s="25"/>
      <c r="D159" s="6" t="s">
        <v>130</v>
      </c>
      <c r="E159" s="15">
        <v>8000</v>
      </c>
      <c r="F159" s="15"/>
    </row>
    <row r="160" spans="1:5" ht="17.25" customHeight="1" hidden="1">
      <c r="A160" s="27"/>
      <c r="B160" s="29" t="s">
        <v>127</v>
      </c>
      <c r="C160" s="25"/>
      <c r="D160" s="6" t="s">
        <v>128</v>
      </c>
      <c r="E160" s="15">
        <v>0</v>
      </c>
    </row>
    <row r="161" spans="1:5" ht="15.75">
      <c r="A161" s="27"/>
      <c r="B161" s="32" t="s">
        <v>131</v>
      </c>
      <c r="C161" s="25" t="s">
        <v>132</v>
      </c>
      <c r="D161" s="6"/>
      <c r="E161" s="14">
        <f>SUM(E163:E174)</f>
        <v>776000</v>
      </c>
    </row>
    <row r="162" spans="1:5" ht="15.75" hidden="1">
      <c r="A162" s="27"/>
      <c r="B162" s="32"/>
      <c r="C162" s="25"/>
      <c r="D162" s="6"/>
      <c r="E162" s="14">
        <f>-E161</f>
        <v>-776000</v>
      </c>
    </row>
    <row r="163" spans="1:5" ht="15.75">
      <c r="A163" s="27"/>
      <c r="B163" s="29" t="s">
        <v>105</v>
      </c>
      <c r="C163" s="25"/>
      <c r="D163" s="6" t="s">
        <v>106</v>
      </c>
      <c r="E163" s="15">
        <v>25000</v>
      </c>
    </row>
    <row r="164" spans="1:5" ht="15.75">
      <c r="A164" s="27"/>
      <c r="B164" s="29" t="s">
        <v>65</v>
      </c>
      <c r="C164" s="25"/>
      <c r="D164" s="6" t="s">
        <v>66</v>
      </c>
      <c r="E164" s="15">
        <f>41000+20000-10000</f>
        <v>51000</v>
      </c>
    </row>
    <row r="165" spans="1:5" ht="15.75">
      <c r="A165" s="27"/>
      <c r="B165" s="29" t="s">
        <v>112</v>
      </c>
      <c r="C165" s="25"/>
      <c r="D165" s="6" t="s">
        <v>114</v>
      </c>
      <c r="E165" s="15">
        <v>21000</v>
      </c>
    </row>
    <row r="166" spans="1:5" ht="15.75">
      <c r="A166" s="27"/>
      <c r="B166" s="29" t="s">
        <v>85</v>
      </c>
      <c r="C166" s="25"/>
      <c r="D166" s="6" t="s">
        <v>86</v>
      </c>
      <c r="E166" s="15">
        <v>3000</v>
      </c>
    </row>
    <row r="167" spans="1:5" ht="15.75">
      <c r="A167" s="27"/>
      <c r="B167" s="29" t="s">
        <v>56</v>
      </c>
      <c r="C167" s="25"/>
      <c r="D167" s="6" t="s">
        <v>57</v>
      </c>
      <c r="E167" s="15">
        <f>28000+10000</f>
        <v>38000</v>
      </c>
    </row>
    <row r="168" spans="1:5" ht="31.5">
      <c r="A168" s="27"/>
      <c r="B168" s="29" t="s">
        <v>87</v>
      </c>
      <c r="C168" s="25"/>
      <c r="D168" s="6" t="s">
        <v>88</v>
      </c>
      <c r="E168" s="15">
        <f>700+200</f>
        <v>900</v>
      </c>
    </row>
    <row r="169" spans="1:5" ht="31.5">
      <c r="A169" s="27"/>
      <c r="B169" s="29" t="s">
        <v>89</v>
      </c>
      <c r="C169" s="25"/>
      <c r="D169" s="6" t="s">
        <v>90</v>
      </c>
      <c r="E169" s="15">
        <v>3000</v>
      </c>
    </row>
    <row r="170" spans="1:5" ht="15.75">
      <c r="A170" s="27"/>
      <c r="B170" s="29" t="s">
        <v>108</v>
      </c>
      <c r="C170" s="25"/>
      <c r="D170" s="6" t="s">
        <v>92</v>
      </c>
      <c r="E170" s="15">
        <v>1000</v>
      </c>
    </row>
    <row r="171" spans="1:5" ht="15.75">
      <c r="A171" s="27"/>
      <c r="B171" s="29" t="s">
        <v>61</v>
      </c>
      <c r="C171" s="25"/>
      <c r="D171" s="6" t="s">
        <v>62</v>
      </c>
      <c r="E171" s="15">
        <v>1000</v>
      </c>
    </row>
    <row r="172" spans="1:5" ht="31.5">
      <c r="A172" s="27"/>
      <c r="B172" s="29" t="s">
        <v>118</v>
      </c>
      <c r="C172" s="25"/>
      <c r="D172" s="6" t="s">
        <v>95</v>
      </c>
      <c r="E172" s="15">
        <v>2100</v>
      </c>
    </row>
    <row r="173" spans="1:6" ht="31.5">
      <c r="A173" s="27"/>
      <c r="B173" s="29" t="s">
        <v>119</v>
      </c>
      <c r="C173" s="25"/>
      <c r="D173" s="6" t="s">
        <v>120</v>
      </c>
      <c r="E173" s="15">
        <f>9000+9000</f>
        <v>18000</v>
      </c>
      <c r="F173" s="15"/>
    </row>
    <row r="174" spans="1:6" ht="31.5">
      <c r="A174" s="27"/>
      <c r="B174" s="29" t="s">
        <v>58</v>
      </c>
      <c r="C174" s="25"/>
      <c r="D174" s="6" t="s">
        <v>59</v>
      </c>
      <c r="E174" s="15">
        <f>740000+120000-300000+52000</f>
        <v>612000</v>
      </c>
      <c r="F174" s="15"/>
    </row>
    <row r="175" spans="1:5" ht="15.75">
      <c r="A175" s="27"/>
      <c r="B175" s="32" t="s">
        <v>133</v>
      </c>
      <c r="C175" s="25" t="s">
        <v>134</v>
      </c>
      <c r="D175" s="6"/>
      <c r="E175" s="14">
        <f>SUM(E177:E196)</f>
        <v>244501</v>
      </c>
    </row>
    <row r="176" spans="1:5" ht="15.75" hidden="1">
      <c r="A176" s="27"/>
      <c r="B176" s="32"/>
      <c r="C176" s="25"/>
      <c r="D176" s="6"/>
      <c r="E176" s="14">
        <f>-E175</f>
        <v>-244501</v>
      </c>
    </row>
    <row r="177" spans="1:5" ht="31.5">
      <c r="A177" s="27"/>
      <c r="B177" s="29" t="s">
        <v>135</v>
      </c>
      <c r="C177" s="25"/>
      <c r="D177" s="6" t="s">
        <v>136</v>
      </c>
      <c r="E177" s="15">
        <v>3000</v>
      </c>
    </row>
    <row r="178" spans="1:5" ht="15.75">
      <c r="A178" s="27"/>
      <c r="B178" s="29" t="s">
        <v>75</v>
      </c>
      <c r="C178" s="25"/>
      <c r="D178" s="6" t="s">
        <v>76</v>
      </c>
      <c r="E178" s="15">
        <v>109200</v>
      </c>
    </row>
    <row r="179" spans="1:12" s="34" customFormat="1" ht="15.75">
      <c r="A179" s="27"/>
      <c r="B179" s="29" t="s">
        <v>77</v>
      </c>
      <c r="C179" s="25"/>
      <c r="D179" s="6" t="s">
        <v>78</v>
      </c>
      <c r="E179" s="15">
        <f>6000+11</f>
        <v>6011</v>
      </c>
      <c r="F179" s="51"/>
      <c r="G179" s="51"/>
      <c r="H179" s="51"/>
      <c r="I179" s="51"/>
      <c r="J179" s="51"/>
      <c r="K179" s="51"/>
      <c r="L179" s="51"/>
    </row>
    <row r="180" spans="1:5" ht="15.75">
      <c r="A180" s="27"/>
      <c r="B180" s="39" t="s">
        <v>79</v>
      </c>
      <c r="C180" s="37"/>
      <c r="D180" s="38" t="s">
        <v>80</v>
      </c>
      <c r="E180" s="17">
        <v>18450</v>
      </c>
    </row>
    <row r="181" spans="1:5" ht="15.75">
      <c r="A181" s="27"/>
      <c r="B181" s="29" t="s">
        <v>81</v>
      </c>
      <c r="C181" s="25"/>
      <c r="D181" s="6" t="s">
        <v>82</v>
      </c>
      <c r="E181" s="15">
        <v>3050</v>
      </c>
    </row>
    <row r="182" spans="1:5" ht="15.75">
      <c r="A182" s="27"/>
      <c r="B182" s="29" t="s">
        <v>110</v>
      </c>
      <c r="C182" s="25"/>
      <c r="D182" s="6" t="s">
        <v>111</v>
      </c>
      <c r="E182" s="15">
        <v>4490</v>
      </c>
    </row>
    <row r="183" spans="1:5" ht="15.75">
      <c r="A183" s="27"/>
      <c r="B183" s="29" t="s">
        <v>65</v>
      </c>
      <c r="C183" s="25"/>
      <c r="D183" s="6" t="s">
        <v>66</v>
      </c>
      <c r="E183" s="15">
        <v>15500</v>
      </c>
    </row>
    <row r="184" spans="1:5" ht="15.75">
      <c r="A184" s="27"/>
      <c r="B184" s="29" t="s">
        <v>112</v>
      </c>
      <c r="C184" s="25"/>
      <c r="D184" s="6" t="s">
        <v>114</v>
      </c>
      <c r="E184" s="15">
        <f>5000+8000+5000</f>
        <v>18000</v>
      </c>
    </row>
    <row r="185" spans="1:5" ht="15.75">
      <c r="A185" s="27"/>
      <c r="B185" s="29" t="s">
        <v>85</v>
      </c>
      <c r="C185" s="25"/>
      <c r="D185" s="6" t="s">
        <v>86</v>
      </c>
      <c r="E185" s="15">
        <v>300</v>
      </c>
    </row>
    <row r="186" spans="1:5" ht="15.75">
      <c r="A186" s="27"/>
      <c r="B186" s="29" t="s">
        <v>56</v>
      </c>
      <c r="C186" s="25"/>
      <c r="D186" s="6" t="s">
        <v>57</v>
      </c>
      <c r="E186" s="15">
        <v>48000</v>
      </c>
    </row>
    <row r="187" spans="1:5" ht="15.75">
      <c r="A187" s="27"/>
      <c r="B187" s="29" t="s">
        <v>113</v>
      </c>
      <c r="C187" s="25"/>
      <c r="D187" s="6" t="s">
        <v>115</v>
      </c>
      <c r="E187" s="15">
        <f>500+300</f>
        <v>800</v>
      </c>
    </row>
    <row r="188" spans="1:5" ht="31.5">
      <c r="A188" s="27"/>
      <c r="B188" s="29" t="s">
        <v>87</v>
      </c>
      <c r="C188" s="25"/>
      <c r="D188" s="6" t="s">
        <v>88</v>
      </c>
      <c r="E188" s="15">
        <v>1000</v>
      </c>
    </row>
    <row r="189" spans="1:5" ht="31.5">
      <c r="A189" s="27"/>
      <c r="B189" s="29" t="s">
        <v>89</v>
      </c>
      <c r="C189" s="25"/>
      <c r="D189" s="6" t="s">
        <v>90</v>
      </c>
      <c r="E189" s="15">
        <f>2000-300</f>
        <v>1700</v>
      </c>
    </row>
    <row r="190" spans="1:5" ht="15.75">
      <c r="A190" s="27"/>
      <c r="B190" s="29" t="s">
        <v>108</v>
      </c>
      <c r="C190" s="25"/>
      <c r="D190" s="6" t="s">
        <v>92</v>
      </c>
      <c r="E190" s="15">
        <v>2000</v>
      </c>
    </row>
    <row r="191" spans="1:5" ht="15.75">
      <c r="A191" s="27"/>
      <c r="B191" s="29" t="s">
        <v>61</v>
      </c>
      <c r="C191" s="25"/>
      <c r="D191" s="6" t="s">
        <v>62</v>
      </c>
      <c r="E191" s="15">
        <v>2000</v>
      </c>
    </row>
    <row r="192" spans="1:5" ht="31.5">
      <c r="A192" s="27"/>
      <c r="B192" s="29" t="s">
        <v>93</v>
      </c>
      <c r="C192" s="25"/>
      <c r="D192" s="6" t="s">
        <v>94</v>
      </c>
      <c r="E192" s="15">
        <v>4000</v>
      </c>
    </row>
    <row r="193" spans="1:5" ht="31.5">
      <c r="A193" s="27"/>
      <c r="B193" s="29" t="s">
        <v>118</v>
      </c>
      <c r="C193" s="25"/>
      <c r="D193" s="6" t="s">
        <v>95</v>
      </c>
      <c r="E193" s="15">
        <v>3000</v>
      </c>
    </row>
    <row r="194" spans="1:5" ht="31.5">
      <c r="A194" s="27"/>
      <c r="B194" s="29" t="s">
        <v>97</v>
      </c>
      <c r="C194" s="25"/>
      <c r="D194" s="6" t="s">
        <v>96</v>
      </c>
      <c r="E194" s="15">
        <f>3000-2000</f>
        <v>1000</v>
      </c>
    </row>
    <row r="195" spans="1:5" ht="31.5">
      <c r="A195" s="27"/>
      <c r="B195" s="29" t="s">
        <v>98</v>
      </c>
      <c r="C195" s="30"/>
      <c r="D195" s="31" t="s">
        <v>99</v>
      </c>
      <c r="E195" s="15">
        <f>7000-4000</f>
        <v>3000</v>
      </c>
    </row>
    <row r="196" spans="1:5" ht="31.5" hidden="1">
      <c r="A196" s="27"/>
      <c r="B196" s="29" t="s">
        <v>119</v>
      </c>
      <c r="C196" s="25"/>
      <c r="D196" s="31">
        <v>6060</v>
      </c>
      <c r="E196" s="15">
        <v>0</v>
      </c>
    </row>
    <row r="197" spans="1:5" ht="15.75">
      <c r="A197" s="27"/>
      <c r="B197" s="32" t="s">
        <v>8</v>
      </c>
      <c r="C197" s="30">
        <v>75495</v>
      </c>
      <c r="D197" s="31"/>
      <c r="E197" s="14">
        <f>SUM(E199:E200)</f>
        <v>6000</v>
      </c>
    </row>
    <row r="198" spans="1:5" ht="15.75" hidden="1">
      <c r="A198" s="27"/>
      <c r="B198" s="32"/>
      <c r="C198" s="30"/>
      <c r="D198" s="31"/>
      <c r="E198" s="14">
        <f>-E197</f>
        <v>-6000</v>
      </c>
    </row>
    <row r="199" spans="1:5" ht="15.75">
      <c r="A199" s="27"/>
      <c r="B199" s="29" t="s">
        <v>65</v>
      </c>
      <c r="C199" s="25"/>
      <c r="D199" s="6" t="s">
        <v>66</v>
      </c>
      <c r="E199" s="15">
        <v>1000</v>
      </c>
    </row>
    <row r="200" spans="1:5" ht="15.75">
      <c r="A200" s="27"/>
      <c r="B200" s="29" t="s">
        <v>56</v>
      </c>
      <c r="C200" s="25"/>
      <c r="D200" s="6" t="s">
        <v>57</v>
      </c>
      <c r="E200" s="15">
        <v>5000</v>
      </c>
    </row>
    <row r="201" spans="1:5" ht="110.25">
      <c r="A201" s="23" t="s">
        <v>31</v>
      </c>
      <c r="B201" s="41" t="s">
        <v>32</v>
      </c>
      <c r="C201" s="25"/>
      <c r="D201" s="6"/>
      <c r="E201" s="11">
        <f>E203</f>
        <v>54000</v>
      </c>
    </row>
    <row r="202" spans="1:5" ht="15.75" hidden="1">
      <c r="A202" s="26"/>
      <c r="B202" s="41"/>
      <c r="C202" s="25"/>
      <c r="D202" s="6"/>
      <c r="E202" s="11">
        <f>-E201</f>
        <v>-54000</v>
      </c>
    </row>
    <row r="203" spans="1:5" ht="34.5" customHeight="1">
      <c r="A203" s="27"/>
      <c r="B203" s="32" t="s">
        <v>140</v>
      </c>
      <c r="C203" s="25" t="s">
        <v>137</v>
      </c>
      <c r="D203" s="6"/>
      <c r="E203" s="14">
        <f>SUM(E205:E208)</f>
        <v>54000</v>
      </c>
    </row>
    <row r="204" spans="1:5" ht="15.75" hidden="1">
      <c r="A204" s="27"/>
      <c r="B204" s="32"/>
      <c r="C204" s="25"/>
      <c r="D204" s="6"/>
      <c r="E204" s="14">
        <f>-E203</f>
        <v>-54000</v>
      </c>
    </row>
    <row r="205" spans="1:5" ht="15.75">
      <c r="A205" s="27"/>
      <c r="B205" s="29" t="s">
        <v>138</v>
      </c>
      <c r="C205" s="25"/>
      <c r="D205" s="6" t="s">
        <v>139</v>
      </c>
      <c r="E205" s="15">
        <v>40000</v>
      </c>
    </row>
    <row r="206" spans="1:5" ht="15.75">
      <c r="A206" s="27"/>
      <c r="B206" s="29" t="s">
        <v>79</v>
      </c>
      <c r="C206" s="25"/>
      <c r="D206" s="6" t="s">
        <v>80</v>
      </c>
      <c r="E206" s="15">
        <v>1000</v>
      </c>
    </row>
    <row r="207" spans="1:5" ht="15.75">
      <c r="A207" s="27"/>
      <c r="B207" s="29" t="s">
        <v>83</v>
      </c>
      <c r="C207" s="25"/>
      <c r="D207" s="6" t="s">
        <v>84</v>
      </c>
      <c r="E207" s="15">
        <v>6000</v>
      </c>
    </row>
    <row r="208" spans="1:5" ht="15.75">
      <c r="A208" s="27"/>
      <c r="B208" s="29" t="s">
        <v>61</v>
      </c>
      <c r="C208" s="25"/>
      <c r="D208" s="6" t="s">
        <v>62</v>
      </c>
      <c r="E208" s="15">
        <f>2500+1000+3500</f>
        <v>7000</v>
      </c>
    </row>
    <row r="209" spans="1:5" ht="15.75">
      <c r="A209" s="23" t="s">
        <v>141</v>
      </c>
      <c r="B209" s="41" t="s">
        <v>142</v>
      </c>
      <c r="C209" s="25"/>
      <c r="D209" s="6"/>
      <c r="E209" s="11">
        <f>E211</f>
        <v>60000</v>
      </c>
    </row>
    <row r="210" spans="1:5" ht="15.75" hidden="1">
      <c r="A210" s="26"/>
      <c r="B210" s="41"/>
      <c r="C210" s="25"/>
      <c r="D210" s="6"/>
      <c r="E210" s="11">
        <f>-E209</f>
        <v>-60000</v>
      </c>
    </row>
    <row r="211" spans="1:5" ht="47.25">
      <c r="A211" s="27"/>
      <c r="B211" s="32" t="s">
        <v>143</v>
      </c>
      <c r="C211" s="25" t="s">
        <v>144</v>
      </c>
      <c r="D211" s="6"/>
      <c r="E211" s="14">
        <f>SUM(E213)</f>
        <v>60000</v>
      </c>
    </row>
    <row r="212" spans="1:5" ht="15.75" hidden="1">
      <c r="A212" s="27"/>
      <c r="B212" s="32"/>
      <c r="C212" s="25"/>
      <c r="D212" s="6"/>
      <c r="E212" s="14">
        <f>-E211</f>
        <v>-60000</v>
      </c>
    </row>
    <row r="213" spans="1:5" ht="15.75">
      <c r="A213" s="27"/>
      <c r="B213" s="29" t="s">
        <v>145</v>
      </c>
      <c r="C213" s="25"/>
      <c r="D213" s="6" t="s">
        <v>146</v>
      </c>
      <c r="E213" s="15">
        <v>60000</v>
      </c>
    </row>
    <row r="214" spans="1:5" ht="15.75">
      <c r="A214" s="23" t="s">
        <v>33</v>
      </c>
      <c r="B214" s="41" t="s">
        <v>147</v>
      </c>
      <c r="C214" s="25"/>
      <c r="D214" s="6"/>
      <c r="E214" s="11">
        <f>E216</f>
        <v>271662</v>
      </c>
    </row>
    <row r="215" spans="1:5" ht="15.75" hidden="1">
      <c r="A215" s="26"/>
      <c r="B215" s="41"/>
      <c r="C215" s="25"/>
      <c r="D215" s="6"/>
      <c r="E215" s="11">
        <f>-E214</f>
        <v>-271662</v>
      </c>
    </row>
    <row r="216" spans="1:5" ht="15.75">
      <c r="A216" s="27"/>
      <c r="B216" s="32" t="s">
        <v>148</v>
      </c>
      <c r="C216" s="25" t="s">
        <v>149</v>
      </c>
      <c r="D216" s="6"/>
      <c r="E216" s="14">
        <f>SUM(E218:E219)</f>
        <v>271662</v>
      </c>
    </row>
    <row r="217" spans="1:5" ht="15.75" hidden="1">
      <c r="A217" s="27"/>
      <c r="B217" s="32"/>
      <c r="C217" s="25"/>
      <c r="D217" s="6"/>
      <c r="E217" s="14">
        <f>-E216</f>
        <v>-271662</v>
      </c>
    </row>
    <row r="218" spans="1:6" ht="15.75">
      <c r="A218" s="27"/>
      <c r="B218" s="29" t="s">
        <v>150</v>
      </c>
      <c r="C218" s="25"/>
      <c r="D218" s="6" t="s">
        <v>151</v>
      </c>
      <c r="E218" s="15">
        <f>200000+30000-139300+14025-19900-7400+50000-21700-37000+12000+49500-10450-40113+200000-8000</f>
        <v>271662</v>
      </c>
      <c r="F218" s="10">
        <f>E218-30000-20000</f>
        <v>221662</v>
      </c>
    </row>
    <row r="219" spans="1:5" ht="31.5" hidden="1">
      <c r="A219" s="27"/>
      <c r="B219" s="29" t="s">
        <v>152</v>
      </c>
      <c r="C219" s="25"/>
      <c r="D219" s="6" t="s">
        <v>153</v>
      </c>
      <c r="E219" s="15">
        <f>200000-200000</f>
        <v>0</v>
      </c>
    </row>
    <row r="220" spans="1:5" ht="15.75">
      <c r="A220" s="23" t="s">
        <v>34</v>
      </c>
      <c r="B220" s="41" t="s">
        <v>35</v>
      </c>
      <c r="C220" s="25"/>
      <c r="D220" s="6"/>
      <c r="E220" s="11">
        <f>E222+E226+E235</f>
        <v>2764867</v>
      </c>
    </row>
    <row r="221" spans="1:5" ht="15.75" hidden="1">
      <c r="A221" s="26"/>
      <c r="B221" s="41"/>
      <c r="C221" s="25"/>
      <c r="D221" s="6"/>
      <c r="E221" s="11">
        <f>-E220</f>
        <v>-2764867</v>
      </c>
    </row>
    <row r="222" spans="1:5" ht="15.75">
      <c r="A222" s="27"/>
      <c r="B222" s="32" t="s">
        <v>36</v>
      </c>
      <c r="C222" s="25" t="s">
        <v>37</v>
      </c>
      <c r="D222" s="6"/>
      <c r="E222" s="14">
        <f>SUM(E224:E225)</f>
        <v>2379973</v>
      </c>
    </row>
    <row r="223" spans="1:5" ht="15.75" hidden="1">
      <c r="A223" s="27"/>
      <c r="B223" s="32"/>
      <c r="C223" s="25"/>
      <c r="D223" s="6"/>
      <c r="E223" s="14">
        <f>-E222</f>
        <v>-2379973</v>
      </c>
    </row>
    <row r="224" spans="1:5" ht="31.5">
      <c r="A224" s="27"/>
      <c r="B224" s="29" t="s">
        <v>58</v>
      </c>
      <c r="C224" s="25"/>
      <c r="D224" s="6" t="s">
        <v>59</v>
      </c>
      <c r="E224" s="15">
        <f>2260141+200000+307832-600000+210000+40000-40000</f>
        <v>2377973</v>
      </c>
    </row>
    <row r="225" spans="1:6" ht="15.75">
      <c r="A225" s="27"/>
      <c r="B225" s="29" t="s">
        <v>65</v>
      </c>
      <c r="C225" s="25"/>
      <c r="D225" s="6" t="s">
        <v>66</v>
      </c>
      <c r="E225" s="15">
        <v>2000</v>
      </c>
      <c r="F225" s="15"/>
    </row>
    <row r="226" spans="1:5" ht="15.75">
      <c r="A226" s="27"/>
      <c r="B226" s="32" t="s">
        <v>154</v>
      </c>
      <c r="C226" s="25" t="s">
        <v>155</v>
      </c>
      <c r="D226" s="6"/>
      <c r="E226" s="14">
        <f>SUM(E228:E234)</f>
        <v>341124</v>
      </c>
    </row>
    <row r="227" spans="1:5" ht="15.75" hidden="1">
      <c r="A227" s="27"/>
      <c r="B227" s="32"/>
      <c r="C227" s="25"/>
      <c r="D227" s="6"/>
      <c r="E227" s="14">
        <f>-E226</f>
        <v>-341124</v>
      </c>
    </row>
    <row r="228" spans="1:5" ht="15.75">
      <c r="A228" s="27"/>
      <c r="B228" s="29" t="s">
        <v>75</v>
      </c>
      <c r="C228" s="25"/>
      <c r="D228" s="6" t="s">
        <v>76</v>
      </c>
      <c r="E228" s="15">
        <v>23780</v>
      </c>
    </row>
    <row r="229" spans="1:5" ht="15.75">
      <c r="A229" s="27"/>
      <c r="B229" s="29" t="s">
        <v>77</v>
      </c>
      <c r="C229" s="25"/>
      <c r="D229" s="6" t="s">
        <v>78</v>
      </c>
      <c r="E229" s="15">
        <v>1624</v>
      </c>
    </row>
    <row r="230" spans="1:5" ht="15.75">
      <c r="A230" s="27"/>
      <c r="B230" s="29" t="s">
        <v>79</v>
      </c>
      <c r="C230" s="25"/>
      <c r="D230" s="6" t="s">
        <v>80</v>
      </c>
      <c r="E230" s="15">
        <v>4060</v>
      </c>
    </row>
    <row r="231" spans="1:5" ht="15.75">
      <c r="A231" s="27"/>
      <c r="B231" s="29" t="s">
        <v>81</v>
      </c>
      <c r="C231" s="25"/>
      <c r="D231" s="6" t="s">
        <v>82</v>
      </c>
      <c r="E231" s="15">
        <f>660+0</f>
        <v>660</v>
      </c>
    </row>
    <row r="232" spans="1:5" ht="15.75">
      <c r="A232" s="27"/>
      <c r="B232" s="29" t="s">
        <v>65</v>
      </c>
      <c r="C232" s="25"/>
      <c r="D232" s="6" t="s">
        <v>66</v>
      </c>
      <c r="E232" s="15">
        <f>16000+4000</f>
        <v>20000</v>
      </c>
    </row>
    <row r="233" spans="1:5" ht="15.75">
      <c r="A233" s="27"/>
      <c r="B233" s="29" t="s">
        <v>56</v>
      </c>
      <c r="C233" s="25"/>
      <c r="D233" s="6" t="s">
        <v>57</v>
      </c>
      <c r="E233" s="15">
        <v>290000</v>
      </c>
    </row>
    <row r="234" spans="1:5" ht="31.5">
      <c r="A234" s="27"/>
      <c r="B234" s="29" t="s">
        <v>93</v>
      </c>
      <c r="C234" s="25"/>
      <c r="D234" s="6" t="s">
        <v>94</v>
      </c>
      <c r="E234" s="15">
        <v>1000</v>
      </c>
    </row>
    <row r="235" spans="1:5" ht="15.75">
      <c r="A235" s="27"/>
      <c r="B235" s="32" t="s">
        <v>8</v>
      </c>
      <c r="C235" s="25" t="s">
        <v>38</v>
      </c>
      <c r="D235" s="6"/>
      <c r="E235" s="14">
        <f>SUM(E237:E241)</f>
        <v>43770</v>
      </c>
    </row>
    <row r="236" spans="1:5" ht="15.75" hidden="1">
      <c r="A236" s="27"/>
      <c r="B236" s="32"/>
      <c r="C236" s="25"/>
      <c r="D236" s="6"/>
      <c r="E236" s="14">
        <f>-E235</f>
        <v>-43770</v>
      </c>
    </row>
    <row r="237" spans="1:5" ht="15.75">
      <c r="A237" s="27"/>
      <c r="B237" s="29" t="s">
        <v>105</v>
      </c>
      <c r="C237" s="25"/>
      <c r="D237" s="6" t="s">
        <v>106</v>
      </c>
      <c r="E237" s="15">
        <v>300</v>
      </c>
    </row>
    <row r="238" spans="1:5" ht="15.75">
      <c r="A238" s="27"/>
      <c r="B238" s="29" t="s">
        <v>156</v>
      </c>
      <c r="C238" s="25"/>
      <c r="D238" s="6" t="s">
        <v>157</v>
      </c>
      <c r="E238" s="15">
        <f>5000+900</f>
        <v>5900</v>
      </c>
    </row>
    <row r="239" spans="1:5" ht="15.75">
      <c r="A239" s="27"/>
      <c r="B239" s="29" t="s">
        <v>203</v>
      </c>
      <c r="C239" s="25"/>
      <c r="D239" s="6" t="s">
        <v>66</v>
      </c>
      <c r="E239" s="15">
        <f>5000+10000</f>
        <v>15000</v>
      </c>
    </row>
    <row r="240" spans="1:5" ht="15.75">
      <c r="A240" s="27"/>
      <c r="B240" s="29" t="s">
        <v>56</v>
      </c>
      <c r="C240" s="25"/>
      <c r="D240" s="6" t="s">
        <v>57</v>
      </c>
      <c r="E240" s="15">
        <f>8221+10000+3000-3850-8221</f>
        <v>9150</v>
      </c>
    </row>
    <row r="241" spans="1:5" ht="15.75">
      <c r="A241" s="27"/>
      <c r="B241" s="29" t="s">
        <v>56</v>
      </c>
      <c r="C241" s="25"/>
      <c r="D241" s="6" t="s">
        <v>207</v>
      </c>
      <c r="E241" s="15">
        <v>13420</v>
      </c>
    </row>
    <row r="242" spans="1:5" ht="15.75">
      <c r="A242" s="23" t="s">
        <v>158</v>
      </c>
      <c r="B242" s="41" t="s">
        <v>159</v>
      </c>
      <c r="C242" s="25"/>
      <c r="D242" s="6"/>
      <c r="E242" s="11">
        <f>E244+E247+E251+E264</f>
        <v>145566</v>
      </c>
    </row>
    <row r="243" spans="1:5" ht="15.75" hidden="1">
      <c r="A243" s="26"/>
      <c r="B243" s="41"/>
      <c r="C243" s="25"/>
      <c r="D243" s="6"/>
      <c r="E243" s="11">
        <f>-E242</f>
        <v>-145566</v>
      </c>
    </row>
    <row r="244" spans="1:5" ht="15.75">
      <c r="A244" s="27"/>
      <c r="B244" s="32" t="s">
        <v>160</v>
      </c>
      <c r="C244" s="25" t="s">
        <v>161</v>
      </c>
      <c r="D244" s="6"/>
      <c r="E244" s="14">
        <f>SUM(E246)</f>
        <v>10000</v>
      </c>
    </row>
    <row r="245" spans="1:5" ht="15.75" hidden="1">
      <c r="A245" s="27"/>
      <c r="B245" s="32"/>
      <c r="C245" s="25"/>
      <c r="D245" s="6"/>
      <c r="E245" s="14">
        <f>-E244</f>
        <v>-10000</v>
      </c>
    </row>
    <row r="246" spans="1:6" ht="78.75">
      <c r="A246" s="27"/>
      <c r="B246" s="29" t="s">
        <v>195</v>
      </c>
      <c r="C246" s="25"/>
      <c r="D246" s="6" t="s">
        <v>49</v>
      </c>
      <c r="E246" s="15">
        <v>10000</v>
      </c>
      <c r="F246" s="15"/>
    </row>
    <row r="247" spans="1:12" s="19" customFormat="1" ht="15.75">
      <c r="A247" s="27"/>
      <c r="B247" s="32" t="s">
        <v>162</v>
      </c>
      <c r="C247" s="25" t="s">
        <v>163</v>
      </c>
      <c r="D247" s="6"/>
      <c r="E247" s="14">
        <f>SUM(E249:E250)</f>
        <v>5000</v>
      </c>
      <c r="F247" s="52"/>
      <c r="G247" s="52"/>
      <c r="H247" s="52"/>
      <c r="I247" s="52"/>
      <c r="J247" s="52"/>
      <c r="K247" s="52"/>
      <c r="L247" s="52"/>
    </row>
    <row r="248" spans="1:12" s="19" customFormat="1" ht="15.75" hidden="1">
      <c r="A248" s="27"/>
      <c r="B248" s="32"/>
      <c r="C248" s="25"/>
      <c r="D248" s="6"/>
      <c r="E248" s="14">
        <f>-E247</f>
        <v>-5000</v>
      </c>
      <c r="F248" s="52"/>
      <c r="G248" s="52"/>
      <c r="H248" s="52"/>
      <c r="I248" s="52"/>
      <c r="J248" s="52"/>
      <c r="K248" s="52"/>
      <c r="L248" s="52"/>
    </row>
    <row r="249" spans="1:12" s="19" customFormat="1" ht="15.75">
      <c r="A249" s="27"/>
      <c r="B249" s="29" t="s">
        <v>65</v>
      </c>
      <c r="C249" s="25"/>
      <c r="D249" s="6" t="s">
        <v>66</v>
      </c>
      <c r="E249" s="15">
        <v>2000</v>
      </c>
      <c r="F249" s="52"/>
      <c r="G249" s="52"/>
      <c r="H249" s="52"/>
      <c r="I249" s="52"/>
      <c r="J249" s="52"/>
      <c r="K249" s="52"/>
      <c r="L249" s="52"/>
    </row>
    <row r="250" spans="1:12" s="19" customFormat="1" ht="15.75">
      <c r="A250" s="27"/>
      <c r="B250" s="29" t="s">
        <v>56</v>
      </c>
      <c r="C250" s="25"/>
      <c r="D250" s="6" t="s">
        <v>57</v>
      </c>
      <c r="E250" s="15">
        <v>3000</v>
      </c>
      <c r="F250" s="52"/>
      <c r="G250" s="52"/>
      <c r="H250" s="52"/>
      <c r="I250" s="52"/>
      <c r="J250" s="52"/>
      <c r="K250" s="52"/>
      <c r="L250" s="52"/>
    </row>
    <row r="251" spans="1:12" s="19" customFormat="1" ht="15.75">
      <c r="A251" s="27"/>
      <c r="B251" s="32" t="s">
        <v>164</v>
      </c>
      <c r="C251" s="25" t="s">
        <v>165</v>
      </c>
      <c r="D251" s="6"/>
      <c r="E251" s="14">
        <f>SUM(E253:E263)</f>
        <v>125566</v>
      </c>
      <c r="F251" s="52"/>
      <c r="G251" s="52"/>
      <c r="H251" s="52"/>
      <c r="I251" s="52"/>
      <c r="J251" s="52"/>
      <c r="K251" s="52"/>
      <c r="L251" s="52"/>
    </row>
    <row r="252" spans="1:12" s="19" customFormat="1" ht="15.75" hidden="1">
      <c r="A252" s="27"/>
      <c r="B252" s="32"/>
      <c r="C252" s="25"/>
      <c r="D252" s="6"/>
      <c r="E252" s="14">
        <f>-E251</f>
        <v>-125566</v>
      </c>
      <c r="F252" s="52"/>
      <c r="G252" s="52"/>
      <c r="H252" s="52"/>
      <c r="I252" s="52"/>
      <c r="J252" s="52"/>
      <c r="K252" s="52"/>
      <c r="L252" s="52"/>
    </row>
    <row r="253" spans="1:5" ht="63">
      <c r="A253" s="27"/>
      <c r="B253" s="29" t="s">
        <v>102</v>
      </c>
      <c r="C253" s="25"/>
      <c r="D253" s="6" t="s">
        <v>50</v>
      </c>
      <c r="E253" s="15">
        <v>3566</v>
      </c>
    </row>
    <row r="254" spans="1:5" ht="15.75">
      <c r="A254" s="27"/>
      <c r="B254" s="29" t="s">
        <v>79</v>
      </c>
      <c r="C254" s="25"/>
      <c r="D254" s="6" t="s">
        <v>80</v>
      </c>
      <c r="E254" s="15">
        <v>1100</v>
      </c>
    </row>
    <row r="255" spans="1:5" ht="15.75">
      <c r="A255" s="27"/>
      <c r="B255" s="29" t="s">
        <v>81</v>
      </c>
      <c r="C255" s="25"/>
      <c r="D255" s="6" t="s">
        <v>82</v>
      </c>
      <c r="E255" s="15">
        <v>50</v>
      </c>
    </row>
    <row r="256" spans="1:5" ht="15.75">
      <c r="A256" s="27"/>
      <c r="B256" s="29" t="s">
        <v>83</v>
      </c>
      <c r="C256" s="25"/>
      <c r="D256" s="6" t="s">
        <v>84</v>
      </c>
      <c r="E256" s="15">
        <v>45000</v>
      </c>
    </row>
    <row r="257" spans="1:5" ht="15.75">
      <c r="A257" s="27"/>
      <c r="B257" s="29" t="s">
        <v>65</v>
      </c>
      <c r="C257" s="25"/>
      <c r="D257" s="6" t="s">
        <v>66</v>
      </c>
      <c r="E257" s="15">
        <f>34000-8400-300</f>
        <v>25300</v>
      </c>
    </row>
    <row r="258" spans="1:5" ht="15.75">
      <c r="A258" s="27"/>
      <c r="B258" s="29" t="s">
        <v>112</v>
      </c>
      <c r="C258" s="25"/>
      <c r="D258" s="6" t="s">
        <v>114</v>
      </c>
      <c r="E258" s="15">
        <f>8500+1000</f>
        <v>9500</v>
      </c>
    </row>
    <row r="259" spans="1:5" ht="15.75">
      <c r="A259" s="27"/>
      <c r="B259" s="29" t="s">
        <v>56</v>
      </c>
      <c r="C259" s="25"/>
      <c r="D259" s="6" t="s">
        <v>57</v>
      </c>
      <c r="E259" s="15">
        <f>29750+8400+1000</f>
        <v>39150</v>
      </c>
    </row>
    <row r="260" spans="1:5" ht="31.5">
      <c r="A260" s="27"/>
      <c r="B260" s="29" t="s">
        <v>89</v>
      </c>
      <c r="C260" s="25"/>
      <c r="D260" s="6" t="s">
        <v>90</v>
      </c>
      <c r="E260" s="15">
        <v>300</v>
      </c>
    </row>
    <row r="261" spans="1:5" ht="15.75">
      <c r="A261" s="27"/>
      <c r="B261" s="29" t="s">
        <v>108</v>
      </c>
      <c r="C261" s="25"/>
      <c r="D261" s="6" t="s">
        <v>92</v>
      </c>
      <c r="E261" s="15">
        <f>2000-700</f>
        <v>1300</v>
      </c>
    </row>
    <row r="262" spans="1:5" ht="31.5">
      <c r="A262" s="27"/>
      <c r="B262" s="29" t="s">
        <v>97</v>
      </c>
      <c r="C262" s="25"/>
      <c r="D262" s="6" t="s">
        <v>96</v>
      </c>
      <c r="E262" s="15">
        <v>300</v>
      </c>
    </row>
    <row r="263" spans="1:5" ht="31.5">
      <c r="A263" s="27"/>
      <c r="B263" s="29" t="s">
        <v>98</v>
      </c>
      <c r="C263" s="25"/>
      <c r="D263" s="6" t="s">
        <v>99</v>
      </c>
      <c r="E263" s="15">
        <f>1000-1000</f>
        <v>0</v>
      </c>
    </row>
    <row r="264" spans="1:5" ht="15.75">
      <c r="A264" s="27"/>
      <c r="B264" s="32" t="s">
        <v>8</v>
      </c>
      <c r="C264" s="25" t="s">
        <v>166</v>
      </c>
      <c r="D264" s="6"/>
      <c r="E264" s="14">
        <f>SUM(E266)</f>
        <v>5000</v>
      </c>
    </row>
    <row r="265" spans="1:5" ht="15.75" hidden="1">
      <c r="A265" s="27"/>
      <c r="B265" s="32"/>
      <c r="C265" s="25"/>
      <c r="D265" s="6"/>
      <c r="E265" s="14">
        <f>-E264</f>
        <v>-5000</v>
      </c>
    </row>
    <row r="266" spans="1:12" s="34" customFormat="1" ht="21" customHeight="1">
      <c r="A266" s="33"/>
      <c r="B266" s="29" t="s">
        <v>56</v>
      </c>
      <c r="C266" s="25"/>
      <c r="D266" s="6" t="s">
        <v>57</v>
      </c>
      <c r="E266" s="15">
        <v>5000</v>
      </c>
      <c r="F266" s="51"/>
      <c r="G266" s="51"/>
      <c r="H266" s="51"/>
      <c r="I266" s="51"/>
      <c r="J266" s="51"/>
      <c r="K266" s="51"/>
      <c r="L266" s="51"/>
    </row>
    <row r="267" spans="1:12" s="67" customFormat="1" ht="21" customHeight="1">
      <c r="A267" s="23" t="s">
        <v>222</v>
      </c>
      <c r="B267" s="41" t="s">
        <v>223</v>
      </c>
      <c r="C267" s="25"/>
      <c r="D267" s="6"/>
      <c r="E267" s="11">
        <f>E269</f>
        <v>18600</v>
      </c>
      <c r="F267" s="66"/>
      <c r="G267" s="66"/>
      <c r="H267" s="66"/>
      <c r="I267" s="66"/>
      <c r="J267" s="66"/>
      <c r="K267" s="66"/>
      <c r="L267" s="66"/>
    </row>
    <row r="268" spans="1:12" s="67" customFormat="1" ht="21" customHeight="1" hidden="1">
      <c r="A268" s="35"/>
      <c r="B268" s="41"/>
      <c r="C268" s="25"/>
      <c r="D268" s="6"/>
      <c r="E268" s="11">
        <f>-E267</f>
        <v>-18600</v>
      </c>
      <c r="F268" s="66"/>
      <c r="G268" s="66"/>
      <c r="H268" s="66"/>
      <c r="I268" s="66"/>
      <c r="J268" s="66"/>
      <c r="K268" s="66"/>
      <c r="L268" s="66"/>
    </row>
    <row r="269" spans="1:12" s="67" customFormat="1" ht="21" customHeight="1">
      <c r="A269" s="33"/>
      <c r="B269" s="32" t="s">
        <v>224</v>
      </c>
      <c r="C269" s="25" t="s">
        <v>225</v>
      </c>
      <c r="D269" s="6"/>
      <c r="E269" s="14">
        <f>SUM(E271)</f>
        <v>18600</v>
      </c>
      <c r="F269" s="66"/>
      <c r="G269" s="66"/>
      <c r="H269" s="66"/>
      <c r="I269" s="66"/>
      <c r="J269" s="66"/>
      <c r="K269" s="66"/>
      <c r="L269" s="66"/>
    </row>
    <row r="270" spans="1:12" s="67" customFormat="1" ht="21" customHeight="1" hidden="1">
      <c r="A270" s="33"/>
      <c r="B270" s="29"/>
      <c r="C270" s="25"/>
      <c r="D270" s="6"/>
      <c r="E270" s="15">
        <f>-E269</f>
        <v>-18600</v>
      </c>
      <c r="F270" s="66"/>
      <c r="G270" s="66"/>
      <c r="H270" s="66"/>
      <c r="I270" s="66"/>
      <c r="J270" s="66"/>
      <c r="K270" s="66"/>
      <c r="L270" s="66"/>
    </row>
    <row r="271" spans="1:12" s="67" customFormat="1" ht="63">
      <c r="A271" s="33"/>
      <c r="B271" s="29" t="s">
        <v>102</v>
      </c>
      <c r="C271" s="25"/>
      <c r="D271" s="6" t="s">
        <v>50</v>
      </c>
      <c r="E271" s="15">
        <v>18600</v>
      </c>
      <c r="F271" s="66"/>
      <c r="G271" s="66"/>
      <c r="H271" s="66"/>
      <c r="I271" s="66"/>
      <c r="J271" s="66"/>
      <c r="K271" s="66"/>
      <c r="L271" s="66"/>
    </row>
    <row r="272" spans="1:5" ht="31.5">
      <c r="A272" s="23" t="s">
        <v>39</v>
      </c>
      <c r="B272" s="41" t="s">
        <v>40</v>
      </c>
      <c r="C272" s="25"/>
      <c r="D272" s="6"/>
      <c r="E272" s="11">
        <f>E274</f>
        <v>156421</v>
      </c>
    </row>
    <row r="273" spans="1:5" ht="15.75" hidden="1">
      <c r="A273" s="26"/>
      <c r="B273" s="41"/>
      <c r="C273" s="25"/>
      <c r="D273" s="6"/>
      <c r="E273" s="11">
        <f>-E272</f>
        <v>-156421</v>
      </c>
    </row>
    <row r="274" spans="1:12" s="19" customFormat="1" ht="15.75">
      <c r="A274" s="27"/>
      <c r="B274" s="32" t="s">
        <v>41</v>
      </c>
      <c r="C274" s="25" t="s">
        <v>42</v>
      </c>
      <c r="D274" s="6"/>
      <c r="E274" s="14">
        <f>SUM(E276)</f>
        <v>156421</v>
      </c>
      <c r="F274" s="52"/>
      <c r="G274" s="52"/>
      <c r="H274" s="52"/>
      <c r="I274" s="52"/>
      <c r="J274" s="52"/>
      <c r="K274" s="52"/>
      <c r="L274" s="52"/>
    </row>
    <row r="275" spans="1:12" s="19" customFormat="1" ht="15.75" hidden="1">
      <c r="A275" s="27"/>
      <c r="B275" s="32"/>
      <c r="C275" s="25"/>
      <c r="D275" s="6"/>
      <c r="E275" s="14">
        <f>-E274</f>
        <v>-156421</v>
      </c>
      <c r="F275" s="52"/>
      <c r="G275" s="52"/>
      <c r="H275" s="52"/>
      <c r="I275" s="52"/>
      <c r="J275" s="52"/>
      <c r="K275" s="52"/>
      <c r="L275" s="52"/>
    </row>
    <row r="276" spans="1:12" s="19" customFormat="1" ht="15.75">
      <c r="A276" s="27"/>
      <c r="B276" s="29" t="s">
        <v>156</v>
      </c>
      <c r="C276" s="25"/>
      <c r="D276" s="6" t="s">
        <v>157</v>
      </c>
      <c r="E276" s="15">
        <f>50000+50000+56421</f>
        <v>156421</v>
      </c>
      <c r="F276" s="52"/>
      <c r="G276" s="52"/>
      <c r="H276" s="52"/>
      <c r="I276" s="52"/>
      <c r="J276" s="52"/>
      <c r="K276" s="52"/>
      <c r="L276" s="52"/>
    </row>
    <row r="277" spans="1:5" ht="31.5">
      <c r="A277" s="23" t="s">
        <v>43</v>
      </c>
      <c r="B277" s="41" t="s">
        <v>44</v>
      </c>
      <c r="C277" s="25"/>
      <c r="D277" s="6"/>
      <c r="E277" s="11">
        <f>E279+E282+E285+E295+E292+E298</f>
        <v>1663319</v>
      </c>
    </row>
    <row r="278" spans="1:5" ht="15.75" hidden="1">
      <c r="A278" s="26"/>
      <c r="B278" s="41"/>
      <c r="C278" s="25"/>
      <c r="D278" s="6"/>
      <c r="E278" s="11">
        <f>-E277</f>
        <v>-1663319</v>
      </c>
    </row>
    <row r="279" spans="1:12" s="19" customFormat="1" ht="15.75">
      <c r="A279" s="27"/>
      <c r="B279" s="32" t="s">
        <v>167</v>
      </c>
      <c r="C279" s="25" t="s">
        <v>168</v>
      </c>
      <c r="D279" s="6"/>
      <c r="E279" s="14">
        <f>SUM(E281)</f>
        <v>155000</v>
      </c>
      <c r="F279" s="52"/>
      <c r="G279" s="52"/>
      <c r="H279" s="52"/>
      <c r="I279" s="52"/>
      <c r="J279" s="52"/>
      <c r="K279" s="52"/>
      <c r="L279" s="52"/>
    </row>
    <row r="280" spans="1:12" s="19" customFormat="1" ht="15.75" hidden="1">
      <c r="A280" s="27"/>
      <c r="B280" s="32"/>
      <c r="C280" s="25"/>
      <c r="D280" s="6"/>
      <c r="E280" s="14">
        <f>-E279</f>
        <v>-155000</v>
      </c>
      <c r="F280" s="52"/>
      <c r="G280" s="52"/>
      <c r="H280" s="52"/>
      <c r="I280" s="52"/>
      <c r="J280" s="52"/>
      <c r="K280" s="52"/>
      <c r="L280" s="52"/>
    </row>
    <row r="281" spans="1:12" s="19" customFormat="1" ht="15.75">
      <c r="A281" s="27"/>
      <c r="B281" s="29" t="s">
        <v>56</v>
      </c>
      <c r="C281" s="25"/>
      <c r="D281" s="6" t="s">
        <v>57</v>
      </c>
      <c r="E281" s="15">
        <f>110000+45000</f>
        <v>155000</v>
      </c>
      <c r="F281" s="52"/>
      <c r="G281" s="52"/>
      <c r="H281" s="52"/>
      <c r="I281" s="52"/>
      <c r="J281" s="52"/>
      <c r="K281" s="52"/>
      <c r="L281" s="52"/>
    </row>
    <row r="282" spans="1:12" s="19" customFormat="1" ht="15.75">
      <c r="A282" s="27"/>
      <c r="B282" s="32" t="s">
        <v>169</v>
      </c>
      <c r="C282" s="25" t="s">
        <v>170</v>
      </c>
      <c r="D282" s="6"/>
      <c r="E282" s="14">
        <f>SUM(E284)</f>
        <v>41500</v>
      </c>
      <c r="F282" s="52"/>
      <c r="G282" s="52"/>
      <c r="H282" s="52"/>
      <c r="I282" s="52"/>
      <c r="J282" s="52"/>
      <c r="K282" s="52"/>
      <c r="L282" s="52"/>
    </row>
    <row r="283" spans="1:12" s="19" customFormat="1" ht="15.75" hidden="1">
      <c r="A283" s="27"/>
      <c r="B283" s="32"/>
      <c r="C283" s="25"/>
      <c r="D283" s="6"/>
      <c r="E283" s="14">
        <f>-E282</f>
        <v>-41500</v>
      </c>
      <c r="F283" s="52"/>
      <c r="G283" s="52"/>
      <c r="H283" s="52"/>
      <c r="I283" s="52"/>
      <c r="J283" s="52"/>
      <c r="K283" s="52"/>
      <c r="L283" s="52"/>
    </row>
    <row r="284" spans="1:12" s="19" customFormat="1" ht="15.75">
      <c r="A284" s="27"/>
      <c r="B284" s="29" t="s">
        <v>56</v>
      </c>
      <c r="C284" s="25"/>
      <c r="D284" s="6" t="s">
        <v>57</v>
      </c>
      <c r="E284" s="15">
        <f>35000+6500</f>
        <v>41500</v>
      </c>
      <c r="F284" s="52"/>
      <c r="G284" s="52"/>
      <c r="H284" s="52"/>
      <c r="I284" s="52"/>
      <c r="J284" s="52"/>
      <c r="K284" s="52"/>
      <c r="L284" s="52"/>
    </row>
    <row r="285" spans="1:12" s="19" customFormat="1" ht="15.75">
      <c r="A285" s="27"/>
      <c r="B285" s="32" t="s">
        <v>172</v>
      </c>
      <c r="C285" s="25" t="s">
        <v>171</v>
      </c>
      <c r="D285" s="6"/>
      <c r="E285" s="14">
        <f>SUM(E287:E291)</f>
        <v>292250</v>
      </c>
      <c r="F285" s="52"/>
      <c r="G285" s="52"/>
      <c r="H285" s="52"/>
      <c r="I285" s="52"/>
      <c r="J285" s="52"/>
      <c r="K285" s="52"/>
      <c r="L285" s="52"/>
    </row>
    <row r="286" spans="1:12" s="19" customFormat="1" ht="15.75" hidden="1">
      <c r="A286" s="27"/>
      <c r="B286" s="32"/>
      <c r="C286" s="25"/>
      <c r="D286" s="6"/>
      <c r="E286" s="14">
        <f>-E285</f>
        <v>-292250</v>
      </c>
      <c r="F286" s="52"/>
      <c r="G286" s="52"/>
      <c r="H286" s="52"/>
      <c r="I286" s="52"/>
      <c r="J286" s="52"/>
      <c r="K286" s="52"/>
      <c r="L286" s="52"/>
    </row>
    <row r="287" spans="1:12" s="19" customFormat="1" ht="15.75">
      <c r="A287" s="27"/>
      <c r="B287" s="29" t="s">
        <v>112</v>
      </c>
      <c r="C287" s="25"/>
      <c r="D287" s="6" t="s">
        <v>114</v>
      </c>
      <c r="E287" s="15">
        <f>200000+40000</f>
        <v>240000</v>
      </c>
      <c r="F287" s="52"/>
      <c r="G287" s="52"/>
      <c r="H287" s="52"/>
      <c r="I287" s="52"/>
      <c r="J287" s="52"/>
      <c r="K287" s="52"/>
      <c r="L287" s="52"/>
    </row>
    <row r="288" spans="1:12" s="19" customFormat="1" ht="15.75">
      <c r="A288" s="27"/>
      <c r="B288" s="29" t="s">
        <v>54</v>
      </c>
      <c r="C288" s="25"/>
      <c r="D288" s="6" t="s">
        <v>55</v>
      </c>
      <c r="E288" s="15">
        <f>17012.25-1820-1820-1820+447.75-1000</f>
        <v>11000</v>
      </c>
      <c r="F288" s="52"/>
      <c r="G288" s="52"/>
      <c r="H288" s="52"/>
      <c r="I288" s="52"/>
      <c r="J288" s="52"/>
      <c r="K288" s="52"/>
      <c r="L288" s="52"/>
    </row>
    <row r="289" spans="1:12" s="19" customFormat="1" ht="15.75">
      <c r="A289" s="27"/>
      <c r="B289" s="29" t="s">
        <v>214</v>
      </c>
      <c r="C289" s="25"/>
      <c r="D289" s="6" t="s">
        <v>213</v>
      </c>
      <c r="E289" s="15">
        <v>150</v>
      </c>
      <c r="F289" s="52"/>
      <c r="G289" s="52"/>
      <c r="H289" s="52"/>
      <c r="I289" s="52"/>
      <c r="J289" s="52"/>
      <c r="K289" s="52"/>
      <c r="L289" s="52"/>
    </row>
    <row r="290" spans="1:12" s="19" customFormat="1" ht="15.75">
      <c r="A290" s="27"/>
      <c r="B290" s="29"/>
      <c r="C290" s="25"/>
      <c r="D290" s="6" t="s">
        <v>64</v>
      </c>
      <c r="E290" s="15">
        <v>100</v>
      </c>
      <c r="F290" s="52"/>
      <c r="G290" s="52"/>
      <c r="H290" s="52"/>
      <c r="I290" s="52"/>
      <c r="J290" s="52"/>
      <c r="K290" s="52"/>
      <c r="L290" s="52"/>
    </row>
    <row r="291" spans="1:12" s="43" customFormat="1" ht="15.75">
      <c r="A291" s="27"/>
      <c r="B291" s="29" t="s">
        <v>56</v>
      </c>
      <c r="C291" s="25"/>
      <c r="D291" s="6" t="s">
        <v>57</v>
      </c>
      <c r="E291" s="15">
        <f>40000+1000</f>
        <v>41000</v>
      </c>
      <c r="F291" s="53"/>
      <c r="G291" s="53"/>
      <c r="H291" s="53"/>
      <c r="I291" s="53"/>
      <c r="J291" s="53"/>
      <c r="K291" s="53"/>
      <c r="L291" s="53"/>
    </row>
    <row r="292" spans="1:12" s="19" customFormat="1" ht="15.75" hidden="1">
      <c r="A292" s="27"/>
      <c r="B292" s="32" t="s">
        <v>208</v>
      </c>
      <c r="C292" s="25" t="s">
        <v>209</v>
      </c>
      <c r="D292" s="6"/>
      <c r="E292" s="14">
        <f>SUM(E294)</f>
        <v>0</v>
      </c>
      <c r="F292" s="52"/>
      <c r="G292" s="52"/>
      <c r="H292" s="52"/>
      <c r="I292" s="52"/>
      <c r="J292" s="52"/>
      <c r="K292" s="52"/>
      <c r="L292" s="52"/>
    </row>
    <row r="293" spans="1:12" s="61" customFormat="1" ht="15.75" hidden="1">
      <c r="A293" s="27"/>
      <c r="B293" s="29"/>
      <c r="C293" s="25"/>
      <c r="D293" s="6"/>
      <c r="E293" s="15">
        <f>-E292</f>
        <v>0</v>
      </c>
      <c r="F293" s="60"/>
      <c r="G293" s="60"/>
      <c r="H293" s="60"/>
      <c r="I293" s="60"/>
      <c r="J293" s="60"/>
      <c r="K293" s="60"/>
      <c r="L293" s="60"/>
    </row>
    <row r="294" spans="1:12" s="61" customFormat="1" ht="31.5" hidden="1">
      <c r="A294" s="27"/>
      <c r="B294" s="29" t="s">
        <v>119</v>
      </c>
      <c r="C294" s="25"/>
      <c r="D294" s="6" t="s">
        <v>120</v>
      </c>
      <c r="E294" s="15"/>
      <c r="F294" s="60"/>
      <c r="G294" s="60"/>
      <c r="H294" s="60"/>
      <c r="I294" s="60"/>
      <c r="J294" s="60"/>
      <c r="K294" s="60"/>
      <c r="L294" s="60"/>
    </row>
    <row r="295" spans="1:5" ht="47.25" hidden="1">
      <c r="A295" s="27"/>
      <c r="B295" s="32" t="s">
        <v>173</v>
      </c>
      <c r="C295" s="25" t="s">
        <v>174</v>
      </c>
      <c r="D295" s="6"/>
      <c r="E295" s="14">
        <f>SUM(E297)</f>
        <v>0</v>
      </c>
    </row>
    <row r="296" spans="1:5" ht="15.75" hidden="1">
      <c r="A296" s="27"/>
      <c r="B296" s="32"/>
      <c r="C296" s="25"/>
      <c r="D296" s="6"/>
      <c r="E296" s="14">
        <f>-E295</f>
        <v>0</v>
      </c>
    </row>
    <row r="297" spans="1:12" s="19" customFormat="1" ht="15.75" hidden="1">
      <c r="A297" s="27"/>
      <c r="B297" s="29" t="s">
        <v>61</v>
      </c>
      <c r="C297" s="25"/>
      <c r="D297" s="6" t="s">
        <v>62</v>
      </c>
      <c r="E297" s="15">
        <v>0</v>
      </c>
      <c r="F297" s="52"/>
      <c r="G297" s="52"/>
      <c r="H297" s="52"/>
      <c r="I297" s="52"/>
      <c r="J297" s="52"/>
      <c r="K297" s="52"/>
      <c r="L297" s="52"/>
    </row>
    <row r="298" spans="1:12" s="19" customFormat="1" ht="15.75">
      <c r="A298" s="27"/>
      <c r="B298" s="32" t="s">
        <v>8</v>
      </c>
      <c r="C298" s="25" t="s">
        <v>45</v>
      </c>
      <c r="D298" s="6"/>
      <c r="E298" s="14">
        <f>SUM(E300:E305)</f>
        <v>1174569</v>
      </c>
      <c r="F298" s="52"/>
      <c r="G298" s="52"/>
      <c r="H298" s="52"/>
      <c r="I298" s="52"/>
      <c r="J298" s="52"/>
      <c r="K298" s="52"/>
      <c r="L298" s="52"/>
    </row>
    <row r="299" spans="1:12" s="19" customFormat="1" ht="15.75" hidden="1">
      <c r="A299" s="27"/>
      <c r="B299" s="32"/>
      <c r="C299" s="25"/>
      <c r="D299" s="6"/>
      <c r="E299" s="14">
        <f>-E298</f>
        <v>-1174569</v>
      </c>
      <c r="F299" s="52"/>
      <c r="G299" s="52"/>
      <c r="H299" s="52"/>
      <c r="I299" s="52"/>
      <c r="J299" s="52"/>
      <c r="K299" s="52"/>
      <c r="L299" s="52"/>
    </row>
    <row r="300" spans="1:12" s="19" customFormat="1" ht="15.75">
      <c r="A300" s="27"/>
      <c r="B300" s="29" t="s">
        <v>65</v>
      </c>
      <c r="C300" s="25"/>
      <c r="D300" s="6" t="s">
        <v>66</v>
      </c>
      <c r="E300" s="15">
        <f>50000-20000+4000</f>
        <v>34000</v>
      </c>
      <c r="F300" s="52"/>
      <c r="G300" s="52"/>
      <c r="H300" s="52"/>
      <c r="I300" s="52"/>
      <c r="J300" s="52"/>
      <c r="K300" s="52"/>
      <c r="L300" s="52"/>
    </row>
    <row r="301" spans="1:12" s="19" customFormat="1" ht="15.75">
      <c r="A301" s="27"/>
      <c r="B301" s="29" t="s">
        <v>56</v>
      </c>
      <c r="C301" s="25"/>
      <c r="D301" s="6" t="s">
        <v>57</v>
      </c>
      <c r="E301" s="15">
        <f>230069+50000-4000</f>
        <v>276069</v>
      </c>
      <c r="F301" s="52"/>
      <c r="G301" s="52"/>
      <c r="H301" s="52"/>
      <c r="I301" s="52"/>
      <c r="J301" s="52"/>
      <c r="K301" s="52"/>
      <c r="L301" s="52"/>
    </row>
    <row r="302" spans="1:5" ht="31.5">
      <c r="A302" s="27"/>
      <c r="B302" s="29" t="s">
        <v>175</v>
      </c>
      <c r="C302" s="25"/>
      <c r="D302" s="6" t="s">
        <v>74</v>
      </c>
      <c r="E302" s="15">
        <v>7000</v>
      </c>
    </row>
    <row r="303" spans="1:5" ht="15.75">
      <c r="A303" s="27"/>
      <c r="B303" s="29" t="s">
        <v>61</v>
      </c>
      <c r="C303" s="25"/>
      <c r="D303" s="6" t="s">
        <v>62</v>
      </c>
      <c r="E303" s="15">
        <v>77000</v>
      </c>
    </row>
    <row r="304" spans="1:12" s="34" customFormat="1" ht="31.5">
      <c r="A304" s="33"/>
      <c r="B304" s="29" t="s">
        <v>58</v>
      </c>
      <c r="C304" s="25"/>
      <c r="D304" s="6" t="s">
        <v>59</v>
      </c>
      <c r="E304" s="15">
        <f>25000+50000+200000+200000+70000+70000+70000+73000-200000-4500+12000-12000+172000</f>
        <v>725500</v>
      </c>
      <c r="F304" s="15"/>
      <c r="G304" s="51"/>
      <c r="H304" s="51"/>
      <c r="I304" s="51"/>
      <c r="J304" s="51"/>
      <c r="K304" s="51"/>
      <c r="L304" s="51"/>
    </row>
    <row r="305" spans="1:12" s="67" customFormat="1" ht="31.5">
      <c r="A305" s="33"/>
      <c r="B305" s="29" t="s">
        <v>119</v>
      </c>
      <c r="C305" s="37"/>
      <c r="D305" s="38" t="s">
        <v>120</v>
      </c>
      <c r="E305" s="17">
        <v>55000</v>
      </c>
      <c r="F305" s="71"/>
      <c r="G305" s="66"/>
      <c r="H305" s="66"/>
      <c r="I305" s="66"/>
      <c r="J305" s="66"/>
      <c r="K305" s="66"/>
      <c r="L305" s="66"/>
    </row>
    <row r="306" spans="1:5" ht="31.5">
      <c r="A306" s="35" t="s">
        <v>176</v>
      </c>
      <c r="B306" s="42" t="s">
        <v>177</v>
      </c>
      <c r="C306" s="37"/>
      <c r="D306" s="38"/>
      <c r="E306" s="16">
        <f>E308+E312</f>
        <v>1076500</v>
      </c>
    </row>
    <row r="307" spans="1:5" ht="15.75" hidden="1">
      <c r="A307" s="26"/>
      <c r="B307" s="42"/>
      <c r="C307" s="37"/>
      <c r="D307" s="38"/>
      <c r="E307" s="16">
        <f>-E306</f>
        <v>-1076500</v>
      </c>
    </row>
    <row r="308" spans="1:12" s="19" customFormat="1" ht="23.25" customHeight="1">
      <c r="A308" s="27"/>
      <c r="B308" s="32" t="s">
        <v>178</v>
      </c>
      <c r="C308" s="25" t="s">
        <v>179</v>
      </c>
      <c r="D308" s="6"/>
      <c r="E308" s="14">
        <f>SUM(E310:E311)</f>
        <v>1058000</v>
      </c>
      <c r="F308" s="52"/>
      <c r="G308" s="52"/>
      <c r="H308" s="52"/>
      <c r="I308" s="52"/>
      <c r="J308" s="52"/>
      <c r="K308" s="52"/>
      <c r="L308" s="52"/>
    </row>
    <row r="309" spans="1:12" s="19" customFormat="1" ht="15.75" hidden="1">
      <c r="A309" s="27"/>
      <c r="B309" s="32"/>
      <c r="C309" s="25"/>
      <c r="D309" s="6"/>
      <c r="E309" s="14">
        <f>-E308</f>
        <v>-1058000</v>
      </c>
      <c r="F309" s="52"/>
      <c r="G309" s="52"/>
      <c r="H309" s="52"/>
      <c r="I309" s="52"/>
      <c r="J309" s="52"/>
      <c r="K309" s="52"/>
      <c r="L309" s="52"/>
    </row>
    <row r="310" spans="1:12" s="19" customFormat="1" ht="63">
      <c r="A310" s="27"/>
      <c r="B310" s="65" t="s">
        <v>218</v>
      </c>
      <c r="C310" s="25"/>
      <c r="D310" s="6" t="s">
        <v>217</v>
      </c>
      <c r="E310" s="15">
        <v>217000</v>
      </c>
      <c r="F310" s="52"/>
      <c r="G310" s="52"/>
      <c r="H310" s="52"/>
      <c r="I310" s="52"/>
      <c r="J310" s="52"/>
      <c r="K310" s="52"/>
      <c r="L310" s="52"/>
    </row>
    <row r="311" spans="1:5" ht="31.5">
      <c r="A311" s="27"/>
      <c r="B311" s="29" t="s">
        <v>180</v>
      </c>
      <c r="C311" s="25"/>
      <c r="D311" s="6" t="s">
        <v>181</v>
      </c>
      <c r="E311" s="15">
        <f>830783-783-17000+28000</f>
        <v>841000</v>
      </c>
    </row>
    <row r="312" spans="1:5" ht="31.5">
      <c r="A312" s="27"/>
      <c r="B312" s="32" t="s">
        <v>182</v>
      </c>
      <c r="C312" s="25" t="s">
        <v>183</v>
      </c>
      <c r="D312" s="6"/>
      <c r="E312" s="14">
        <f>SUM(E314:E315)</f>
        <v>18500</v>
      </c>
    </row>
    <row r="313" spans="1:5" ht="15.75" hidden="1">
      <c r="A313" s="27"/>
      <c r="B313" s="32"/>
      <c r="C313" s="25"/>
      <c r="D313" s="6"/>
      <c r="E313" s="14">
        <f>-E312</f>
        <v>-18500</v>
      </c>
    </row>
    <row r="314" spans="1:5" ht="78.75">
      <c r="A314" s="27"/>
      <c r="B314" s="29" t="s">
        <v>184</v>
      </c>
      <c r="C314" s="25"/>
      <c r="D314" s="6" t="s">
        <v>185</v>
      </c>
      <c r="E314" s="15">
        <f>10000+5000</f>
        <v>15000</v>
      </c>
    </row>
    <row r="315" spans="1:5" ht="15.75">
      <c r="A315" s="27"/>
      <c r="B315" s="29" t="s">
        <v>83</v>
      </c>
      <c r="C315" s="25"/>
      <c r="D315" s="6" t="s">
        <v>84</v>
      </c>
      <c r="E315" s="15">
        <v>3500</v>
      </c>
    </row>
    <row r="316" spans="1:5" ht="15.75">
      <c r="A316" s="23" t="s">
        <v>186</v>
      </c>
      <c r="B316" s="41" t="s">
        <v>187</v>
      </c>
      <c r="C316" s="25"/>
      <c r="D316" s="6"/>
      <c r="E316" s="11">
        <f>E318+E326</f>
        <v>255731</v>
      </c>
    </row>
    <row r="317" spans="1:5" ht="15.75" hidden="1">
      <c r="A317" s="26"/>
      <c r="B317" s="41"/>
      <c r="C317" s="25"/>
      <c r="D317" s="6"/>
      <c r="E317" s="11">
        <f>-E316</f>
        <v>-255731</v>
      </c>
    </row>
    <row r="318" spans="1:12" s="19" customFormat="1" ht="15.75">
      <c r="A318" s="27"/>
      <c r="B318" s="32" t="s">
        <v>188</v>
      </c>
      <c r="C318" s="25" t="s">
        <v>189</v>
      </c>
      <c r="D318" s="6"/>
      <c r="E318" s="14">
        <f>SUM(E320:E325)</f>
        <v>107831</v>
      </c>
      <c r="F318" s="52"/>
      <c r="G318" s="52"/>
      <c r="H318" s="52"/>
      <c r="I318" s="52"/>
      <c r="J318" s="52"/>
      <c r="K318" s="52"/>
      <c r="L318" s="52"/>
    </row>
    <row r="319" spans="1:12" s="19" customFormat="1" ht="15.75" hidden="1">
      <c r="A319" s="27"/>
      <c r="B319" s="32"/>
      <c r="C319" s="25"/>
      <c r="D319" s="6"/>
      <c r="E319" s="14">
        <f>-E318</f>
        <v>-107831</v>
      </c>
      <c r="F319" s="52"/>
      <c r="G319" s="52"/>
      <c r="H319" s="52"/>
      <c r="I319" s="52"/>
      <c r="J319" s="52"/>
      <c r="K319" s="52"/>
      <c r="L319" s="52"/>
    </row>
    <row r="320" spans="1:12" s="19" customFormat="1" ht="15.75" hidden="1">
      <c r="A320" s="27"/>
      <c r="B320" s="65" t="s">
        <v>61</v>
      </c>
      <c r="C320" s="25"/>
      <c r="D320" s="6" t="s">
        <v>62</v>
      </c>
      <c r="E320" s="15">
        <f>1431-1431</f>
        <v>0</v>
      </c>
      <c r="F320" s="52"/>
      <c r="G320" s="52"/>
      <c r="H320" s="52"/>
      <c r="I320" s="52"/>
      <c r="J320" s="52"/>
      <c r="K320" s="52"/>
      <c r="L320" s="52"/>
    </row>
    <row r="321" spans="1:12" s="19" customFormat="1" ht="15.75">
      <c r="A321" s="27"/>
      <c r="B321" s="65" t="s">
        <v>214</v>
      </c>
      <c r="C321" s="25"/>
      <c r="D321" s="6" t="s">
        <v>213</v>
      </c>
      <c r="E321" s="15">
        <v>4931</v>
      </c>
      <c r="F321" s="52"/>
      <c r="G321" s="52"/>
      <c r="H321" s="52"/>
      <c r="I321" s="52"/>
      <c r="J321" s="52"/>
      <c r="K321" s="52"/>
      <c r="L321" s="52"/>
    </row>
    <row r="322" spans="1:12" s="19" customFormat="1" ht="15.75">
      <c r="A322" s="27"/>
      <c r="B322" s="65" t="s">
        <v>215</v>
      </c>
      <c r="C322" s="25"/>
      <c r="D322" s="6" t="s">
        <v>59</v>
      </c>
      <c r="E322" s="15">
        <f>26769+15000+14600</f>
        <v>56369</v>
      </c>
      <c r="F322" s="52"/>
      <c r="G322" s="52"/>
      <c r="H322" s="52"/>
      <c r="I322" s="52"/>
      <c r="J322" s="52"/>
      <c r="K322" s="52"/>
      <c r="L322" s="52"/>
    </row>
    <row r="323" spans="1:12" s="19" customFormat="1" ht="15.75">
      <c r="A323" s="27"/>
      <c r="B323" s="29" t="s">
        <v>65</v>
      </c>
      <c r="C323" s="25"/>
      <c r="D323" s="6" t="s">
        <v>66</v>
      </c>
      <c r="E323" s="15">
        <f>10000+700+4400+10000</f>
        <v>25100</v>
      </c>
      <c r="F323" s="52"/>
      <c r="G323" s="52"/>
      <c r="H323" s="52"/>
      <c r="I323" s="52"/>
      <c r="J323" s="52"/>
      <c r="K323" s="52"/>
      <c r="L323" s="52"/>
    </row>
    <row r="324" spans="1:12" s="19" customFormat="1" ht="15.75">
      <c r="A324" s="27"/>
      <c r="B324" s="29" t="s">
        <v>112</v>
      </c>
      <c r="C324" s="25"/>
      <c r="D324" s="6" t="s">
        <v>114</v>
      </c>
      <c r="E324" s="15">
        <f>8000-3000</f>
        <v>5000</v>
      </c>
      <c r="F324" s="52"/>
      <c r="G324" s="52"/>
      <c r="H324" s="52"/>
      <c r="I324" s="52"/>
      <c r="J324" s="52"/>
      <c r="K324" s="52"/>
      <c r="L324" s="52"/>
    </row>
    <row r="325" spans="1:12" s="19" customFormat="1" ht="15.75">
      <c r="A325" s="27"/>
      <c r="B325" s="29" t="s">
        <v>56</v>
      </c>
      <c r="C325" s="25"/>
      <c r="D325" s="6" t="s">
        <v>57</v>
      </c>
      <c r="E325" s="15">
        <f>10000+5000+1431</f>
        <v>16431</v>
      </c>
      <c r="F325" s="52"/>
      <c r="G325" s="52"/>
      <c r="H325" s="52"/>
      <c r="I325" s="52"/>
      <c r="J325" s="52"/>
      <c r="K325" s="52"/>
      <c r="L325" s="52"/>
    </row>
    <row r="326" spans="1:12" s="19" customFormat="1" ht="15.75">
      <c r="A326" s="27"/>
      <c r="B326" s="32" t="s">
        <v>8</v>
      </c>
      <c r="C326" s="25" t="s">
        <v>190</v>
      </c>
      <c r="D326" s="6"/>
      <c r="E326" s="14">
        <f>SUM(E328:E333)</f>
        <v>147900</v>
      </c>
      <c r="F326" s="52"/>
      <c r="G326" s="52"/>
      <c r="H326" s="52"/>
      <c r="I326" s="52"/>
      <c r="J326" s="52"/>
      <c r="K326" s="52"/>
      <c r="L326" s="52"/>
    </row>
    <row r="327" spans="1:12" s="19" customFormat="1" ht="15.75" hidden="1">
      <c r="A327" s="27"/>
      <c r="B327" s="32"/>
      <c r="C327" s="25"/>
      <c r="D327" s="6"/>
      <c r="E327" s="14">
        <f>-E326</f>
        <v>-147900</v>
      </c>
      <c r="F327" s="52"/>
      <c r="G327" s="52"/>
      <c r="H327" s="52"/>
      <c r="I327" s="52"/>
      <c r="J327" s="52"/>
      <c r="K327" s="52"/>
      <c r="L327" s="52"/>
    </row>
    <row r="328" spans="1:5" ht="47.25">
      <c r="A328" s="27"/>
      <c r="B328" s="29" t="s">
        <v>191</v>
      </c>
      <c r="C328" s="25"/>
      <c r="D328" s="6" t="s">
        <v>192</v>
      </c>
      <c r="E328" s="15">
        <v>65000</v>
      </c>
    </row>
    <row r="329" spans="1:5" ht="89.25" customHeight="1">
      <c r="A329" s="27"/>
      <c r="B329" s="29" t="s">
        <v>193</v>
      </c>
      <c r="C329" s="25"/>
      <c r="D329" s="6" t="s">
        <v>194</v>
      </c>
      <c r="E329" s="15">
        <f>18000+15000+2000+6000</f>
        <v>41000</v>
      </c>
    </row>
    <row r="330" spans="1:5" ht="15.75">
      <c r="A330" s="27"/>
      <c r="B330" s="29" t="s">
        <v>105</v>
      </c>
      <c r="C330" s="25"/>
      <c r="D330" s="6" t="s">
        <v>106</v>
      </c>
      <c r="E330" s="15">
        <f>4000+1800</f>
        <v>5800</v>
      </c>
    </row>
    <row r="331" spans="1:5" ht="15.75">
      <c r="A331" s="27"/>
      <c r="B331" s="29" t="s">
        <v>83</v>
      </c>
      <c r="C331" s="25"/>
      <c r="D331" s="6" t="s">
        <v>84</v>
      </c>
      <c r="E331" s="15">
        <v>1500</v>
      </c>
    </row>
    <row r="332" spans="1:5" ht="15.75">
      <c r="A332" s="27"/>
      <c r="B332" s="29" t="s">
        <v>65</v>
      </c>
      <c r="C332" s="25"/>
      <c r="D332" s="6" t="s">
        <v>66</v>
      </c>
      <c r="E332" s="15">
        <f>25500-12000+7000+1000</f>
        <v>21500</v>
      </c>
    </row>
    <row r="333" spans="1:5" ht="15.75">
      <c r="A333" s="27"/>
      <c r="B333" s="29" t="s">
        <v>56</v>
      </c>
      <c r="C333" s="25"/>
      <c r="D333" s="6" t="s">
        <v>57</v>
      </c>
      <c r="E333" s="15">
        <f>5000+4000+4100</f>
        <v>13100</v>
      </c>
    </row>
    <row r="334" spans="1:8" ht="27" customHeight="1">
      <c r="A334" s="44" t="s">
        <v>46</v>
      </c>
      <c r="B334" s="45"/>
      <c r="C334" s="5"/>
      <c r="D334" s="5"/>
      <c r="E334" s="49">
        <f>SUM(E11:E333)</f>
        <v>12540192</v>
      </c>
      <c r="F334" s="49">
        <f>D337</f>
        <v>705121</v>
      </c>
      <c r="G334" s="49">
        <v>11835071</v>
      </c>
      <c r="H334" s="10">
        <f>F334+G334</f>
        <v>12540192</v>
      </c>
    </row>
    <row r="335" ht="15.75">
      <c r="H335" s="10">
        <f>H334-E334</f>
        <v>0</v>
      </c>
    </row>
    <row r="336" spans="3:6" ht="15.75">
      <c r="C336" s="68">
        <v>11835071</v>
      </c>
      <c r="D336" s="68" t="s">
        <v>200</v>
      </c>
      <c r="E336" s="7">
        <f>E11+E22+E34+E48+E63+E133+E152+E201+E209+E214+E220+E242+E267+E272+E277+E306+E316</f>
        <v>12540192</v>
      </c>
      <c r="F336" s="10">
        <f>C336</f>
        <v>11835071</v>
      </c>
    </row>
    <row r="337" spans="3:6" ht="15.75">
      <c r="C337" s="68">
        <f>E334-C336</f>
        <v>705121</v>
      </c>
      <c r="D337" s="68">
        <f>7000+30000+4000+15000+3000+800+200+500+300+500+3500+500+600+20000+20000+300+33200+1000+9000+500+20000+200+5000+300-300+200000+4000+10000-300+1000-700+56421+45000+6500+40000-1000+1000+100-20000+50000+55000+28000+5000+52000-8000+6000</f>
        <v>705121</v>
      </c>
      <c r="E337" s="7">
        <f>C336+D337</f>
        <v>12540192</v>
      </c>
      <c r="F337" s="10">
        <f>E336-F336</f>
        <v>705121</v>
      </c>
    </row>
    <row r="338" spans="1:7" ht="15.75">
      <c r="A338" s="72">
        <v>-14000</v>
      </c>
      <c r="C338" s="68"/>
      <c r="D338" s="68"/>
      <c r="E338" s="7">
        <f>E337-E334</f>
        <v>0</v>
      </c>
      <c r="F338" s="46"/>
      <c r="G338" s="46"/>
    </row>
    <row r="339" spans="1:5" ht="15.75">
      <c r="A339" s="72">
        <v>4000</v>
      </c>
      <c r="C339" s="68"/>
      <c r="D339" s="75">
        <v>7000</v>
      </c>
      <c r="E339" s="8"/>
    </row>
    <row r="340" spans="1:5" ht="15.75">
      <c r="A340" s="72">
        <v>9000</v>
      </c>
      <c r="C340" s="68"/>
      <c r="D340" s="75">
        <v>30000</v>
      </c>
      <c r="E340" s="7"/>
    </row>
    <row r="341" spans="1:5" ht="15.75">
      <c r="A341" s="72">
        <v>3000</v>
      </c>
      <c r="C341" s="68"/>
      <c r="D341" s="75">
        <v>4000</v>
      </c>
      <c r="E341" s="7"/>
    </row>
    <row r="342" spans="1:5" ht="15.75">
      <c r="A342" s="72">
        <v>4330</v>
      </c>
      <c r="C342" s="68"/>
      <c r="D342" s="75">
        <v>15000</v>
      </c>
      <c r="E342" s="7"/>
    </row>
    <row r="343" spans="1:5" ht="15.75">
      <c r="A343" s="72">
        <v>400</v>
      </c>
      <c r="C343" s="68"/>
      <c r="D343" s="75">
        <v>3000</v>
      </c>
      <c r="E343" s="7"/>
    </row>
    <row r="344" spans="1:5" ht="15.75">
      <c r="A344" s="72">
        <v>-2000</v>
      </c>
      <c r="C344" s="68"/>
      <c r="D344" s="75">
        <v>800</v>
      </c>
      <c r="E344" s="7"/>
    </row>
    <row r="345" spans="1:5" ht="15.75">
      <c r="A345" s="72">
        <v>300</v>
      </c>
      <c r="C345" s="68"/>
      <c r="D345" s="75">
        <v>200</v>
      </c>
      <c r="E345" s="7"/>
    </row>
    <row r="346" spans="1:5" ht="15.75">
      <c r="A346" s="72">
        <v>-1050</v>
      </c>
      <c r="C346" s="68"/>
      <c r="D346" s="74">
        <v>500</v>
      </c>
      <c r="E346" s="7"/>
    </row>
    <row r="347" spans="1:5" ht="15.75">
      <c r="A347" s="72">
        <v>-6000</v>
      </c>
      <c r="C347" s="68"/>
      <c r="D347" s="74">
        <v>300</v>
      </c>
      <c r="E347" s="7"/>
    </row>
    <row r="348" spans="1:5" ht="15.75">
      <c r="A348" s="72">
        <v>6000</v>
      </c>
      <c r="C348" s="68"/>
      <c r="D348" s="74">
        <v>500</v>
      </c>
      <c r="E348" s="7"/>
    </row>
    <row r="349" spans="1:5" ht="15.75">
      <c r="A349" s="72">
        <v>-800</v>
      </c>
      <c r="C349" s="68"/>
      <c r="D349" s="74">
        <v>3500</v>
      </c>
      <c r="E349" s="7"/>
    </row>
    <row r="350" spans="1:5" ht="15.75">
      <c r="A350" s="72">
        <v>800</v>
      </c>
      <c r="C350" s="68"/>
      <c r="D350" s="74">
        <v>500</v>
      </c>
      <c r="E350" s="7"/>
    </row>
    <row r="351" spans="1:5" ht="15.75">
      <c r="A351" s="72">
        <v>11500</v>
      </c>
      <c r="C351" s="68"/>
      <c r="D351" s="74">
        <v>600</v>
      </c>
      <c r="E351" s="7"/>
    </row>
    <row r="352" spans="1:5" ht="15.75">
      <c r="A352" s="72">
        <v>7000</v>
      </c>
      <c r="C352" s="68"/>
      <c r="D352" s="74">
        <v>20000</v>
      </c>
      <c r="E352" s="7"/>
    </row>
    <row r="353" spans="1:5" ht="15.75">
      <c r="A353" s="72">
        <v>1000</v>
      </c>
      <c r="C353" s="68"/>
      <c r="D353" s="74">
        <v>20000</v>
      </c>
      <c r="E353" s="7"/>
    </row>
    <row r="354" spans="1:5" ht="15.75">
      <c r="A354" s="72">
        <v>300</v>
      </c>
      <c r="C354" s="68"/>
      <c r="D354" s="74">
        <v>300</v>
      </c>
      <c r="E354" s="7"/>
    </row>
    <row r="355" spans="1:5" ht="15.75">
      <c r="A355" s="72">
        <v>-300</v>
      </c>
      <c r="C355" s="68"/>
      <c r="D355" s="74">
        <v>33200</v>
      </c>
      <c r="E355" s="7"/>
    </row>
    <row r="356" spans="1:5" ht="15.75">
      <c r="A356" s="72">
        <v>-1300</v>
      </c>
      <c r="C356" s="68"/>
      <c r="D356" s="74">
        <v>1000</v>
      </c>
      <c r="E356" s="7"/>
    </row>
    <row r="357" spans="1:5" ht="15.75">
      <c r="A357" s="72">
        <v>500</v>
      </c>
      <c r="C357" s="68"/>
      <c r="D357" s="74">
        <v>9000</v>
      </c>
      <c r="E357" s="7"/>
    </row>
    <row r="358" spans="1:5" ht="15.75">
      <c r="A358" s="72">
        <v>-1700</v>
      </c>
      <c r="C358" s="68"/>
      <c r="D358" s="74">
        <v>500</v>
      </c>
      <c r="E358" s="7"/>
    </row>
    <row r="359" spans="1:4" ht="15.75">
      <c r="A359" s="72"/>
      <c r="D359" s="7">
        <v>20000</v>
      </c>
    </row>
    <row r="360" spans="1:4" ht="15.75">
      <c r="A360" s="72">
        <v>-2700</v>
      </c>
      <c r="D360" s="7">
        <v>200</v>
      </c>
    </row>
    <row r="361" spans="1:4" ht="15.75">
      <c r="A361" s="72">
        <v>-3280</v>
      </c>
      <c r="D361" s="7">
        <v>5000</v>
      </c>
    </row>
    <row r="362" spans="1:4" ht="15.75">
      <c r="A362" s="72">
        <v>1400</v>
      </c>
      <c r="D362" s="7">
        <v>300</v>
      </c>
    </row>
    <row r="363" spans="1:4" ht="15.75">
      <c r="A363" s="72">
        <v>5040</v>
      </c>
      <c r="D363" s="7">
        <v>-300</v>
      </c>
    </row>
    <row r="364" spans="1:4" ht="15.75">
      <c r="A364" s="72">
        <v>-9000</v>
      </c>
      <c r="D364" s="7">
        <v>200000</v>
      </c>
    </row>
    <row r="365" spans="1:4" ht="15.75">
      <c r="A365" s="72">
        <v>30700</v>
      </c>
      <c r="D365" s="7">
        <v>4000</v>
      </c>
    </row>
    <row r="366" spans="1:4" ht="15.75">
      <c r="A366" s="72">
        <v>14400</v>
      </c>
      <c r="D366" s="7">
        <v>10000</v>
      </c>
    </row>
    <row r="367" spans="1:4" ht="15.75">
      <c r="A367" s="72">
        <v>5000</v>
      </c>
      <c r="D367" s="7">
        <v>-300</v>
      </c>
    </row>
    <row r="368" spans="1:4" ht="15.75">
      <c r="A368" s="72">
        <v>250</v>
      </c>
      <c r="D368" s="7">
        <v>1000</v>
      </c>
    </row>
    <row r="369" spans="1:4" ht="15.75">
      <c r="A369" s="72">
        <v>25100</v>
      </c>
      <c r="D369" s="7">
        <v>-700</v>
      </c>
    </row>
    <row r="370" spans="1:4" ht="15.75">
      <c r="A370" s="72">
        <v>-2600</v>
      </c>
      <c r="D370" s="7">
        <v>56421</v>
      </c>
    </row>
    <row r="371" spans="1:4" ht="15.75">
      <c r="A371" s="72">
        <v>5900</v>
      </c>
      <c r="D371" s="7">
        <v>45000</v>
      </c>
    </row>
    <row r="372" spans="1:4" ht="15.75">
      <c r="A372" s="72">
        <v>300</v>
      </c>
      <c r="D372" s="7">
        <v>6500</v>
      </c>
    </row>
    <row r="373" spans="1:4" ht="15.75">
      <c r="A373" s="72">
        <v>6000</v>
      </c>
      <c r="D373" s="7">
        <v>40000</v>
      </c>
    </row>
    <row r="374" spans="1:4" ht="15.75">
      <c r="A374" s="72">
        <v>9000</v>
      </c>
      <c r="D374" s="7">
        <v>-1000</v>
      </c>
    </row>
    <row r="375" spans="1:4" ht="15.75">
      <c r="A375" s="73">
        <f>SUM(A338:A374)</f>
        <v>106490</v>
      </c>
      <c r="D375" s="7">
        <v>1000</v>
      </c>
    </row>
    <row r="376" ht="15.75">
      <c r="D376" s="7">
        <v>100</v>
      </c>
    </row>
    <row r="377" ht="15.75">
      <c r="D377" s="7">
        <v>-20000</v>
      </c>
    </row>
    <row r="378" ht="15.75">
      <c r="D378" s="7">
        <v>50000</v>
      </c>
    </row>
    <row r="379" ht="15.75">
      <c r="D379" s="7">
        <v>55000</v>
      </c>
    </row>
    <row r="380" ht="15.75">
      <c r="D380" s="7">
        <v>28000</v>
      </c>
    </row>
    <row r="381" ht="15.75">
      <c r="D381" s="7">
        <v>5000</v>
      </c>
    </row>
    <row r="382" ht="15.75">
      <c r="D382" s="7"/>
    </row>
    <row r="383" ht="15.75">
      <c r="D383" s="7">
        <v>52000</v>
      </c>
    </row>
    <row r="384" ht="15.75">
      <c r="D384" s="7">
        <v>-8000</v>
      </c>
    </row>
    <row r="385" ht="15.75">
      <c r="D385" s="7">
        <v>6000</v>
      </c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6"/>
    </row>
    <row r="395" ht="15.75">
      <c r="D395" s="76"/>
    </row>
    <row r="396" spans="3:5" ht="15.75">
      <c r="C396" s="68">
        <v>11835071</v>
      </c>
      <c r="D396" s="69">
        <f>SUM(D339:D395)</f>
        <v>705121</v>
      </c>
      <c r="E396" s="7">
        <f>C396+D396</f>
        <v>12540192</v>
      </c>
    </row>
    <row r="397" spans="3:5" ht="15.75">
      <c r="C397" s="68">
        <f>C396-C336</f>
        <v>0</v>
      </c>
      <c r="D397" s="68">
        <f>D337</f>
        <v>705121</v>
      </c>
      <c r="E397" s="7">
        <f>E396-C396</f>
        <v>705121</v>
      </c>
    </row>
    <row r="398" ht="15.75">
      <c r="D398" s="59">
        <f>D396-D337</f>
        <v>0</v>
      </c>
    </row>
  </sheetData>
  <sheetProtection formatCells="0" formatColumns="0" formatRows="0" insertColumns="0" deleteColumns="0" deleteRows="0"/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scale="79" r:id="rId1"/>
  <headerFooter alignWithMargins="0">
    <oddFooter>&amp;C&amp;P</oddFooter>
  </headerFooter>
  <rowBreaks count="6" manualBreakCount="6">
    <brk id="52" max="6" man="1"/>
    <brk id="96" max="6" man="1"/>
    <brk id="148" max="6" man="1"/>
    <brk id="200" max="6" man="1"/>
    <brk id="257" max="6" man="1"/>
    <brk id="3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dom</cp:lastModifiedBy>
  <cp:lastPrinted>2009-10-28T13:53:29Z</cp:lastPrinted>
  <dcterms:created xsi:type="dcterms:W3CDTF">2008-02-29T13:00:19Z</dcterms:created>
  <dcterms:modified xsi:type="dcterms:W3CDTF">2009-11-09T16:21:00Z</dcterms:modified>
  <cp:category/>
  <cp:version/>
  <cp:contentType/>
  <cp:contentStatus/>
</cp:coreProperties>
</file>