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'Arkusz1'!$A:$A</definedName>
  </definedNames>
  <calcPr fullCalcOnLoad="1"/>
</workbook>
</file>

<file path=xl/sharedStrings.xml><?xml version="1.0" encoding="utf-8"?>
<sst xmlns="http://schemas.openxmlformats.org/spreadsheetml/2006/main" count="136" uniqueCount="35">
  <si>
    <t>Nazwa / Lata</t>
  </si>
  <si>
    <t>Potencjalna spłata kwot wynikających z udzielonych poręczeń oraz gwarancji</t>
  </si>
  <si>
    <t>2007 wykonanie</t>
  </si>
  <si>
    <t>a) wydatki bieżące</t>
  </si>
  <si>
    <t>b) wydatki majątkowe</t>
  </si>
  <si>
    <t>Prognozowane wydatki budżetowe, w tym:</t>
  </si>
  <si>
    <t>Prognozowane dochody budżetowe, w tym:</t>
  </si>
  <si>
    <t>a) dochody bieżące</t>
  </si>
  <si>
    <t>b) dochody majątkowe</t>
  </si>
  <si>
    <t>Przepływ gotówki</t>
  </si>
  <si>
    <t>2008 wykonanie</t>
  </si>
  <si>
    <t>Możliwość wzrostu kwoty rat i odsetek w danym roku o kwotę</t>
  </si>
  <si>
    <t>Należne w danym roku odsetki i prowizje od kredytów i pożyczek</t>
  </si>
  <si>
    <t>Wolne środki z lat ubiegłych</t>
  </si>
  <si>
    <r>
      <t>B</t>
    </r>
    <r>
      <rPr>
        <sz val="11"/>
        <rFont val="Arial"/>
        <family val="0"/>
      </rPr>
      <t xml:space="preserve"> (Spłaty rat+odsetki)/Dochody</t>
    </r>
  </si>
  <si>
    <t>2009 wykonanie</t>
  </si>
  <si>
    <t>Prognozowany wynik budżetu (nadwyżka/deficyt)</t>
  </si>
  <si>
    <t>w tym wydatki na obsługę długu</t>
  </si>
  <si>
    <t>x</t>
  </si>
  <si>
    <t>Wskaźnik łącznej kwoty długu na koniec roku do dochodów w danym roku budżetowym (art.170 ust. 1)</t>
  </si>
  <si>
    <t>Wskaźnik spłat rat kredytów i pożyczek wraz z odsetkami oraz potencjalną spłatą udzielonych poręczeń do dochodów w danym roku budżetowym (art.169 ust.1)</t>
  </si>
  <si>
    <t>Wskaźnik łącznej kwoty długu na koniec roku do dochodów w danym roku budżetowym po wyłączeniach z art.170 ust. 3</t>
  </si>
  <si>
    <t>Wskaźnik spłat rat kredytów i pożyczek wraz z odsetkami oraz potencjalną spłatą udzielonych poręczeń do dochodów w danym roku budżetowym po wyłączeniach z art.169 ust.3</t>
  </si>
  <si>
    <t>(Dochody bieżące + Dochody ze sprzedaży majątku - Wydatki bieżące)/Dochody=</t>
  </si>
  <si>
    <r>
      <t>A</t>
    </r>
    <r>
      <rPr>
        <sz val="11"/>
        <rFont val="Arial"/>
        <family val="0"/>
      </rPr>
      <t xml:space="preserve"> Suma (Dochody bieżące + Dochody ze sprzedaży majątku - Wydatki bieżące)/Dochody z 3 poprzednich lat * 1/3</t>
    </r>
  </si>
  <si>
    <t>Art. 242 nowej ustFinPubl, tj. Dochody bieżące - wydatki bieżące + wolne środki =</t>
  </si>
  <si>
    <t>Zaciągnięte pożyczki i kredyty w roku budżetowym, w tym:</t>
  </si>
  <si>
    <t>Spłata rat kredytów i pożyczek, w tym:</t>
  </si>
  <si>
    <t>a) bez prefinansowania</t>
  </si>
  <si>
    <t>b) na prefinansowanie (art. 5 ust.3)</t>
  </si>
  <si>
    <t>Art. 243 nowej ustFinPubl</t>
  </si>
  <si>
    <t>Czy stosunek zobowiązań do dochodów  przekracza relację z art. 243</t>
  </si>
  <si>
    <r>
      <t xml:space="preserve">Stosunek zobowiązań do dochodów określonych w art. 243 nUFinPubl (tj. A&gt;= B)  </t>
    </r>
    <r>
      <rPr>
        <b/>
        <sz val="12"/>
        <rFont val="Arial"/>
        <family val="2"/>
      </rPr>
      <t>A-B=</t>
    </r>
  </si>
  <si>
    <t>Łączna kwota długu na koniec roku, w tym:</t>
  </si>
  <si>
    <t>w tym dochody ze sprzedaży majątku (Sm - §  0770, 0780, 0870)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</si>
</sst>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_ ;[Red]\-#,##0\ "/>
    <numFmt numFmtId="166" formatCode="#,##0.0000000_ ;[Red]\-#,##0.0000000\ 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i/>
      <sz val="9"/>
      <name val="Arial"/>
      <family val="2"/>
    </font>
    <font>
      <u val="single"/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 shrinkToFit="1"/>
    </xf>
    <xf numFmtId="4" fontId="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90" zoomScaleNormal="9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"/>
    </sheetView>
  </sheetViews>
  <sheetFormatPr defaultColWidth="9.140625" defaultRowHeight="12.75"/>
  <cols>
    <col min="1" max="1" width="84.140625" style="4" customWidth="1"/>
    <col min="2" max="2" width="21.140625" style="4" hidden="1" customWidth="1"/>
    <col min="3" max="3" width="2.421875" style="3" hidden="1" customWidth="1"/>
    <col min="4" max="4" width="16.57421875" style="3" customWidth="1"/>
    <col min="5" max="9" width="15.8515625" style="3" customWidth="1"/>
    <col min="10" max="16" width="15.8515625" style="4" customWidth="1"/>
    <col min="17" max="20" width="15.8515625" style="0" customWidth="1"/>
  </cols>
  <sheetData>
    <row r="1" spans="1:20" s="1" customFormat="1" ht="27.75" customHeight="1">
      <c r="A1" s="5" t="s">
        <v>0</v>
      </c>
      <c r="B1" s="6" t="s">
        <v>2</v>
      </c>
      <c r="C1" s="16" t="s">
        <v>10</v>
      </c>
      <c r="D1" s="2" t="s">
        <v>15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>
        <v>2017</v>
      </c>
      <c r="M1" s="2">
        <v>2018</v>
      </c>
      <c r="N1" s="2">
        <v>2019</v>
      </c>
      <c r="O1" s="2">
        <v>2020</v>
      </c>
      <c r="P1" s="2">
        <v>2021</v>
      </c>
      <c r="Q1" s="2">
        <v>2022</v>
      </c>
      <c r="R1" s="2">
        <v>2023</v>
      </c>
      <c r="S1" s="2">
        <v>2024</v>
      </c>
      <c r="T1" s="2">
        <v>2025</v>
      </c>
    </row>
    <row r="2" spans="1:20" s="24" customFormat="1" ht="22.5" customHeight="1">
      <c r="A2" s="22" t="s">
        <v>6</v>
      </c>
      <c r="B2" s="23">
        <f>SUM(B3:B4)</f>
        <v>13386898.690000001</v>
      </c>
      <c r="C2" s="23">
        <f>SUM(C3:C4)</f>
        <v>15317811.19</v>
      </c>
      <c r="D2" s="63" t="s">
        <v>18</v>
      </c>
      <c r="E2" s="23">
        <f>SUM(E3:E4)</f>
        <v>16928431</v>
      </c>
      <c r="F2" s="23">
        <f aca="true" t="shared" si="0" ref="F2:S2">SUM(F3:F4)</f>
        <v>16540200</v>
      </c>
      <c r="G2" s="23">
        <f t="shared" si="0"/>
        <v>16210200</v>
      </c>
      <c r="H2" s="23">
        <f t="shared" si="0"/>
        <v>16629000</v>
      </c>
      <c r="I2" s="23">
        <f t="shared" si="0"/>
        <v>17451000</v>
      </c>
      <c r="J2" s="23">
        <f t="shared" si="0"/>
        <v>17968800</v>
      </c>
      <c r="K2" s="23">
        <f t="shared" si="0"/>
        <v>18502200</v>
      </c>
      <c r="L2" s="23">
        <f t="shared" si="0"/>
        <v>19051600</v>
      </c>
      <c r="M2" s="23">
        <f t="shared" si="0"/>
        <v>19527400</v>
      </c>
      <c r="N2" s="23">
        <f t="shared" si="0"/>
        <v>20110200</v>
      </c>
      <c r="O2" s="23">
        <f t="shared" si="0"/>
        <v>20710500</v>
      </c>
      <c r="P2" s="23">
        <f t="shared" si="0"/>
        <v>21328800</v>
      </c>
      <c r="Q2" s="23">
        <f t="shared" si="0"/>
        <v>21965700</v>
      </c>
      <c r="R2" s="23">
        <f t="shared" si="0"/>
        <v>22621700</v>
      </c>
      <c r="S2" s="23">
        <f t="shared" si="0"/>
        <v>23297400</v>
      </c>
      <c r="T2" s="23">
        <f>SUM(T3:T4)</f>
        <v>23993300</v>
      </c>
    </row>
    <row r="3" spans="1:20" s="9" customFormat="1" ht="16.5" customHeight="1">
      <c r="A3" s="8" t="s">
        <v>7</v>
      </c>
      <c r="B3" s="18">
        <v>12971038.88</v>
      </c>
      <c r="C3" s="18">
        <v>14809669.91</v>
      </c>
      <c r="D3" s="64" t="s">
        <v>18</v>
      </c>
      <c r="E3" s="18">
        <v>14107657</v>
      </c>
      <c r="F3" s="18">
        <f>ROUND(E3*1.075,-2)+34500</f>
        <v>15200200</v>
      </c>
      <c r="G3" s="18">
        <f>ROUND(F3*1.05,-2)</f>
        <v>15960200</v>
      </c>
      <c r="H3" s="18">
        <f aca="true" t="shared" si="1" ref="H3:S3">ROUND(G3*1.03,-2)</f>
        <v>16439000</v>
      </c>
      <c r="I3" s="18">
        <f>ROUND(H3*1.05,-2)</f>
        <v>17261000</v>
      </c>
      <c r="J3" s="18">
        <f t="shared" si="1"/>
        <v>17778800</v>
      </c>
      <c r="K3" s="18">
        <f t="shared" si="1"/>
        <v>18312200</v>
      </c>
      <c r="L3" s="18">
        <f t="shared" si="1"/>
        <v>18861600</v>
      </c>
      <c r="M3" s="18">
        <f t="shared" si="1"/>
        <v>19427400</v>
      </c>
      <c r="N3" s="18">
        <f t="shared" si="1"/>
        <v>20010200</v>
      </c>
      <c r="O3" s="18">
        <f t="shared" si="1"/>
        <v>20610500</v>
      </c>
      <c r="P3" s="18">
        <f t="shared" si="1"/>
        <v>21228800</v>
      </c>
      <c r="Q3" s="18">
        <f t="shared" si="1"/>
        <v>21865700</v>
      </c>
      <c r="R3" s="18">
        <f t="shared" si="1"/>
        <v>22521700</v>
      </c>
      <c r="S3" s="18">
        <f t="shared" si="1"/>
        <v>23197400</v>
      </c>
      <c r="T3" s="18">
        <f>ROUND(S3*1.03,-2)</f>
        <v>23893300</v>
      </c>
    </row>
    <row r="4" spans="1:20" s="9" customFormat="1" ht="16.5" customHeight="1">
      <c r="A4" s="8" t="s">
        <v>8</v>
      </c>
      <c r="B4" s="18">
        <v>415859.81</v>
      </c>
      <c r="C4" s="18">
        <v>508141.28</v>
      </c>
      <c r="D4" s="64" t="s">
        <v>18</v>
      </c>
      <c r="E4" s="18">
        <v>2820774</v>
      </c>
      <c r="F4" s="18">
        <v>1340000</v>
      </c>
      <c r="G4" s="18">
        <v>250000</v>
      </c>
      <c r="H4" s="18">
        <v>190000</v>
      </c>
      <c r="I4" s="18">
        <f aca="true" t="shared" si="2" ref="I4:T5">H4</f>
        <v>190000</v>
      </c>
      <c r="J4" s="18">
        <f t="shared" si="2"/>
        <v>190000</v>
      </c>
      <c r="K4" s="18">
        <f t="shared" si="2"/>
        <v>190000</v>
      </c>
      <c r="L4" s="18">
        <f t="shared" si="2"/>
        <v>190000</v>
      </c>
      <c r="M4" s="18">
        <v>100000</v>
      </c>
      <c r="N4" s="18">
        <f aca="true" t="shared" si="3" ref="N4:S5">M4</f>
        <v>100000</v>
      </c>
      <c r="O4" s="18">
        <f t="shared" si="3"/>
        <v>100000</v>
      </c>
      <c r="P4" s="18">
        <f t="shared" si="3"/>
        <v>100000</v>
      </c>
      <c r="Q4" s="18">
        <f t="shared" si="3"/>
        <v>100000</v>
      </c>
      <c r="R4" s="18">
        <f t="shared" si="3"/>
        <v>100000</v>
      </c>
      <c r="S4" s="18">
        <f t="shared" si="3"/>
        <v>100000</v>
      </c>
      <c r="T4" s="18">
        <f>S4</f>
        <v>100000</v>
      </c>
    </row>
    <row r="5" spans="1:20" s="17" customFormat="1" ht="15" customHeight="1">
      <c r="A5" s="25" t="s">
        <v>34</v>
      </c>
      <c r="B5" s="19">
        <v>312032.74</v>
      </c>
      <c r="C5" s="19">
        <v>244392.28</v>
      </c>
      <c r="D5" s="65" t="s">
        <v>18</v>
      </c>
      <c r="E5" s="19">
        <v>140000</v>
      </c>
      <c r="F5" s="19">
        <f>E5</f>
        <v>140000</v>
      </c>
      <c r="G5" s="19">
        <f>F5</f>
        <v>140000</v>
      </c>
      <c r="H5" s="19">
        <v>50000</v>
      </c>
      <c r="I5" s="19">
        <v>10000</v>
      </c>
      <c r="J5" s="19">
        <f t="shared" si="2"/>
        <v>10000</v>
      </c>
      <c r="K5" s="19">
        <f t="shared" si="2"/>
        <v>10000</v>
      </c>
      <c r="L5" s="19">
        <f t="shared" si="2"/>
        <v>10000</v>
      </c>
      <c r="M5" s="19">
        <f t="shared" si="2"/>
        <v>10000</v>
      </c>
      <c r="N5" s="19">
        <f t="shared" si="2"/>
        <v>10000</v>
      </c>
      <c r="O5" s="19">
        <f t="shared" si="2"/>
        <v>10000</v>
      </c>
      <c r="P5" s="19">
        <f t="shared" si="2"/>
        <v>10000</v>
      </c>
      <c r="Q5" s="19">
        <f t="shared" si="2"/>
        <v>10000</v>
      </c>
      <c r="R5" s="19">
        <f t="shared" si="2"/>
        <v>10000</v>
      </c>
      <c r="S5" s="19">
        <f t="shared" si="2"/>
        <v>10000</v>
      </c>
      <c r="T5" s="19">
        <f t="shared" si="2"/>
        <v>10000</v>
      </c>
    </row>
    <row r="6" spans="1:20" s="24" customFormat="1" ht="22.5" customHeight="1">
      <c r="A6" s="22" t="s">
        <v>5</v>
      </c>
      <c r="B6" s="23">
        <f>SUM(B7,B9)</f>
        <v>12688282.24</v>
      </c>
      <c r="C6" s="23">
        <f aca="true" t="shared" si="4" ref="C6:S6">SUM(C7,C9)</f>
        <v>14330331.27</v>
      </c>
      <c r="D6" s="63" t="s">
        <v>18</v>
      </c>
      <c r="E6" s="23">
        <f t="shared" si="4"/>
        <v>23634162</v>
      </c>
      <c r="F6" s="23">
        <f t="shared" si="4"/>
        <v>18952379</v>
      </c>
      <c r="G6" s="23">
        <f>SUM(G7,G9)</f>
        <v>15552000</v>
      </c>
      <c r="H6" s="23">
        <f t="shared" si="4"/>
        <v>15705500</v>
      </c>
      <c r="I6" s="23">
        <f t="shared" si="4"/>
        <v>15860600</v>
      </c>
      <c r="J6" s="23">
        <f t="shared" si="4"/>
        <v>16173800</v>
      </c>
      <c r="K6" s="23">
        <f t="shared" si="4"/>
        <v>16593300</v>
      </c>
      <c r="L6" s="23">
        <f t="shared" si="4"/>
        <v>16919200</v>
      </c>
      <c r="M6" s="23">
        <f t="shared" si="4"/>
        <v>17251600</v>
      </c>
      <c r="N6" s="23">
        <f t="shared" si="4"/>
        <v>17590600</v>
      </c>
      <c r="O6" s="23">
        <f t="shared" si="4"/>
        <v>17936400</v>
      </c>
      <c r="P6" s="23">
        <f t="shared" si="4"/>
        <v>18489100</v>
      </c>
      <c r="Q6" s="23">
        <f t="shared" si="4"/>
        <v>18848900</v>
      </c>
      <c r="R6" s="23">
        <f t="shared" si="4"/>
        <v>19215900</v>
      </c>
      <c r="S6" s="23">
        <f t="shared" si="4"/>
        <v>19590200</v>
      </c>
      <c r="T6" s="23">
        <f>SUM(T7,T9)</f>
        <v>19972000</v>
      </c>
    </row>
    <row r="7" spans="1:20" s="9" customFormat="1" ht="16.5" customHeight="1">
      <c r="A7" s="8" t="s">
        <v>3</v>
      </c>
      <c r="B7" s="18">
        <v>11527931.05</v>
      </c>
      <c r="C7" s="18">
        <v>13363820.29</v>
      </c>
      <c r="D7" s="64" t="s">
        <v>18</v>
      </c>
      <c r="E7" s="18">
        <v>15901650.57</v>
      </c>
      <c r="F7" s="18">
        <v>15200000</v>
      </c>
      <c r="G7" s="18">
        <f>ROUND(F7*1.01,-2)</f>
        <v>15352000</v>
      </c>
      <c r="H7" s="18">
        <f>ROUND(G7*1.01,-2)</f>
        <v>15505500</v>
      </c>
      <c r="I7" s="18">
        <f>ROUND(H7*1.01,-2)</f>
        <v>15660600</v>
      </c>
      <c r="J7" s="18">
        <f aca="true" t="shared" si="5" ref="J7:S7">ROUND(I7*1.02,-2)</f>
        <v>15973800</v>
      </c>
      <c r="K7" s="18">
        <f t="shared" si="5"/>
        <v>16293300</v>
      </c>
      <c r="L7" s="18">
        <f t="shared" si="5"/>
        <v>16619200</v>
      </c>
      <c r="M7" s="18">
        <f t="shared" si="5"/>
        <v>16951600</v>
      </c>
      <c r="N7" s="18">
        <f t="shared" si="5"/>
        <v>17290600</v>
      </c>
      <c r="O7" s="18">
        <f t="shared" si="5"/>
        <v>17636400</v>
      </c>
      <c r="P7" s="18">
        <f t="shared" si="5"/>
        <v>17989100</v>
      </c>
      <c r="Q7" s="18">
        <f t="shared" si="5"/>
        <v>18348900</v>
      </c>
      <c r="R7" s="18">
        <f t="shared" si="5"/>
        <v>18715900</v>
      </c>
      <c r="S7" s="18">
        <f t="shared" si="5"/>
        <v>19090200</v>
      </c>
      <c r="T7" s="18">
        <f>ROUND(S7*1.02,-2)</f>
        <v>19472000</v>
      </c>
    </row>
    <row r="8" spans="1:20" s="17" customFormat="1" ht="16.5" customHeight="1">
      <c r="A8" s="25" t="s">
        <v>17</v>
      </c>
      <c r="B8" s="19">
        <f>B20</f>
        <v>119474</v>
      </c>
      <c r="C8" s="19">
        <f aca="true" t="shared" si="6" ref="C8:S8">C20</f>
        <v>131732</v>
      </c>
      <c r="D8" s="65" t="s">
        <v>18</v>
      </c>
      <c r="E8" s="19">
        <f t="shared" si="6"/>
        <v>204000</v>
      </c>
      <c r="F8" s="19">
        <f t="shared" si="6"/>
        <v>355000</v>
      </c>
      <c r="G8" s="19">
        <f t="shared" si="6"/>
        <v>350000</v>
      </c>
      <c r="H8" s="19">
        <f t="shared" si="6"/>
        <v>303000</v>
      </c>
      <c r="I8" s="19">
        <f t="shared" si="6"/>
        <v>266000</v>
      </c>
      <c r="J8" s="19">
        <f t="shared" si="6"/>
        <v>238000</v>
      </c>
      <c r="K8" s="19">
        <f t="shared" si="6"/>
        <v>209000</v>
      </c>
      <c r="L8" s="19">
        <f t="shared" si="6"/>
        <v>182000</v>
      </c>
      <c r="M8" s="19">
        <f t="shared" si="6"/>
        <v>155000</v>
      </c>
      <c r="N8" s="19">
        <f t="shared" si="6"/>
        <v>129000</v>
      </c>
      <c r="O8" s="19">
        <f t="shared" si="6"/>
        <v>102000</v>
      </c>
      <c r="P8" s="19">
        <f t="shared" si="6"/>
        <v>75500</v>
      </c>
      <c r="Q8" s="19">
        <f t="shared" si="6"/>
        <v>51000</v>
      </c>
      <c r="R8" s="19">
        <f t="shared" si="6"/>
        <v>26700</v>
      </c>
      <c r="S8" s="19">
        <f t="shared" si="6"/>
        <v>9000</v>
      </c>
      <c r="T8" s="19">
        <f>T20</f>
        <v>9000</v>
      </c>
    </row>
    <row r="9" spans="1:20" s="9" customFormat="1" ht="16.5" customHeight="1">
      <c r="A9" s="8" t="s">
        <v>4</v>
      </c>
      <c r="B9" s="18">
        <v>1160351.19</v>
      </c>
      <c r="C9" s="18">
        <v>966510.98</v>
      </c>
      <c r="D9" s="64" t="s">
        <v>18</v>
      </c>
      <c r="E9" s="18">
        <v>7732511.43</v>
      </c>
      <c r="F9" s="18">
        <v>3752379</v>
      </c>
      <c r="G9" s="18">
        <v>200000</v>
      </c>
      <c r="H9" s="18">
        <f aca="true" t="shared" si="7" ref="H9:O9">G9</f>
        <v>200000</v>
      </c>
      <c r="I9" s="18">
        <f t="shared" si="7"/>
        <v>200000</v>
      </c>
      <c r="J9" s="18">
        <f t="shared" si="7"/>
        <v>200000</v>
      </c>
      <c r="K9" s="18">
        <v>300000</v>
      </c>
      <c r="L9" s="18">
        <f t="shared" si="7"/>
        <v>300000</v>
      </c>
      <c r="M9" s="18">
        <f t="shared" si="7"/>
        <v>300000</v>
      </c>
      <c r="N9" s="18">
        <f t="shared" si="7"/>
        <v>300000</v>
      </c>
      <c r="O9" s="18">
        <f t="shared" si="7"/>
        <v>300000</v>
      </c>
      <c r="P9" s="18">
        <v>500000</v>
      </c>
      <c r="Q9" s="18">
        <f>P9</f>
        <v>500000</v>
      </c>
      <c r="R9" s="18">
        <f>Q9</f>
        <v>500000</v>
      </c>
      <c r="S9" s="18">
        <f>R9</f>
        <v>500000</v>
      </c>
      <c r="T9" s="18">
        <f>S9</f>
        <v>500000</v>
      </c>
    </row>
    <row r="10" spans="1:20" s="24" customFormat="1" ht="22.5" customHeight="1">
      <c r="A10" s="22" t="s">
        <v>26</v>
      </c>
      <c r="B10" s="23"/>
      <c r="C10" s="23"/>
      <c r="D10" s="63" t="s">
        <v>18</v>
      </c>
      <c r="E10" s="23">
        <f aca="true" t="shared" si="8" ref="E10:S10">SUM(E11:E12)</f>
        <v>7523400</v>
      </c>
      <c r="F10" s="23">
        <f t="shared" si="8"/>
        <v>0</v>
      </c>
      <c r="G10" s="23">
        <f t="shared" si="8"/>
        <v>0</v>
      </c>
      <c r="H10" s="23">
        <f t="shared" si="8"/>
        <v>0</v>
      </c>
      <c r="I10" s="23">
        <f t="shared" si="8"/>
        <v>0</v>
      </c>
      <c r="J10" s="23">
        <f t="shared" si="8"/>
        <v>0</v>
      </c>
      <c r="K10" s="23">
        <f t="shared" si="8"/>
        <v>0</v>
      </c>
      <c r="L10" s="23">
        <f t="shared" si="8"/>
        <v>0</v>
      </c>
      <c r="M10" s="23">
        <f t="shared" si="8"/>
        <v>0</v>
      </c>
      <c r="N10" s="23">
        <f t="shared" si="8"/>
        <v>0</v>
      </c>
      <c r="O10" s="23">
        <f t="shared" si="8"/>
        <v>0</v>
      </c>
      <c r="P10" s="23">
        <f t="shared" si="8"/>
        <v>0</v>
      </c>
      <c r="Q10" s="23">
        <f t="shared" si="8"/>
        <v>0</v>
      </c>
      <c r="R10" s="23">
        <f t="shared" si="8"/>
        <v>0</v>
      </c>
      <c r="S10" s="23">
        <f t="shared" si="8"/>
        <v>0</v>
      </c>
      <c r="T10" s="23">
        <f>SUM(T11:T12)</f>
        <v>0</v>
      </c>
    </row>
    <row r="11" spans="1:20" s="57" customFormat="1" ht="19.5" customHeight="1">
      <c r="A11" s="55" t="s">
        <v>28</v>
      </c>
      <c r="B11" s="56">
        <v>149000</v>
      </c>
      <c r="C11" s="56">
        <v>0</v>
      </c>
      <c r="D11" s="66" t="s">
        <v>18</v>
      </c>
      <c r="E11" s="56">
        <v>6724226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</row>
    <row r="12" spans="1:20" s="57" customFormat="1" ht="19.5" customHeight="1">
      <c r="A12" s="55" t="s">
        <v>29</v>
      </c>
      <c r="B12" s="56">
        <v>0</v>
      </c>
      <c r="C12" s="56">
        <v>0</v>
      </c>
      <c r="D12" s="66" t="s">
        <v>18</v>
      </c>
      <c r="E12" s="56">
        <v>799174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</row>
    <row r="13" spans="1:20" s="60" customFormat="1" ht="22.5" customHeight="1">
      <c r="A13" s="58" t="s">
        <v>27</v>
      </c>
      <c r="B13" s="59"/>
      <c r="C13" s="59"/>
      <c r="D13" s="67" t="s">
        <v>18</v>
      </c>
      <c r="E13" s="59">
        <f aca="true" t="shared" si="9" ref="E13:S13">SUM(E14:E15)</f>
        <v>1289575.32</v>
      </c>
      <c r="F13" s="59">
        <f t="shared" si="9"/>
        <v>677350</v>
      </c>
      <c r="G13" s="59">
        <f t="shared" si="9"/>
        <v>752900</v>
      </c>
      <c r="H13" s="59">
        <f t="shared" si="9"/>
        <v>735300</v>
      </c>
      <c r="I13" s="59">
        <f t="shared" si="9"/>
        <v>388400</v>
      </c>
      <c r="J13" s="59">
        <f t="shared" si="9"/>
        <v>455354</v>
      </c>
      <c r="K13" s="59">
        <f t="shared" si="9"/>
        <v>406750</v>
      </c>
      <c r="L13" s="59">
        <f t="shared" si="9"/>
        <v>445000</v>
      </c>
      <c r="M13" s="59">
        <f t="shared" si="9"/>
        <v>498000</v>
      </c>
      <c r="N13" s="59">
        <f t="shared" si="9"/>
        <v>498000</v>
      </c>
      <c r="O13" s="59">
        <f t="shared" si="9"/>
        <v>498000</v>
      </c>
      <c r="P13" s="59">
        <f t="shared" si="9"/>
        <v>478500</v>
      </c>
      <c r="Q13" s="59">
        <f t="shared" si="9"/>
        <v>470000</v>
      </c>
      <c r="R13" s="59">
        <f t="shared" si="9"/>
        <v>470000</v>
      </c>
      <c r="S13" s="59">
        <f t="shared" si="9"/>
        <v>470000</v>
      </c>
      <c r="T13" s="59">
        <f>SUM(T14:T15)</f>
        <v>536322</v>
      </c>
    </row>
    <row r="14" spans="1:20" s="57" customFormat="1" ht="19.5" customHeight="1">
      <c r="A14" s="55" t="s">
        <v>28</v>
      </c>
      <c r="B14" s="56">
        <v>567737</v>
      </c>
      <c r="C14" s="56">
        <v>691388</v>
      </c>
      <c r="D14" s="66" t="s">
        <v>18</v>
      </c>
      <c r="E14" s="56">
        <v>490401.32</v>
      </c>
      <c r="F14" s="56">
        <v>677350</v>
      </c>
      <c r="G14" s="61">
        <v>752900</v>
      </c>
      <c r="H14" s="56">
        <v>735300</v>
      </c>
      <c r="I14" s="61">
        <v>388400</v>
      </c>
      <c r="J14" s="56">
        <v>455354</v>
      </c>
      <c r="K14" s="61">
        <v>406750</v>
      </c>
      <c r="L14" s="56">
        <v>445000</v>
      </c>
      <c r="M14" s="56">
        <v>498000</v>
      </c>
      <c r="N14" s="56">
        <v>498000</v>
      </c>
      <c r="O14" s="56">
        <v>498000</v>
      </c>
      <c r="P14" s="56">
        <v>478500</v>
      </c>
      <c r="Q14" s="56">
        <v>470000</v>
      </c>
      <c r="R14" s="56">
        <v>470000</v>
      </c>
      <c r="S14" s="56">
        <v>470000</v>
      </c>
      <c r="T14" s="56">
        <v>536322</v>
      </c>
    </row>
    <row r="15" spans="1:20" s="57" customFormat="1" ht="19.5" customHeight="1">
      <c r="A15" s="55" t="s">
        <v>29</v>
      </c>
      <c r="B15" s="56">
        <v>0</v>
      </c>
      <c r="C15" s="56">
        <v>0</v>
      </c>
      <c r="D15" s="66" t="s">
        <v>18</v>
      </c>
      <c r="E15" s="56">
        <v>799174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</row>
    <row r="16" spans="1:20" s="60" customFormat="1" ht="22.5" customHeight="1">
      <c r="A16" s="58" t="s">
        <v>33</v>
      </c>
      <c r="B16" s="59"/>
      <c r="C16" s="59"/>
      <c r="D16" s="59">
        <v>1546051.32</v>
      </c>
      <c r="E16" s="59">
        <f aca="true" t="shared" si="10" ref="E16:S16">SUM(E17:E18)</f>
        <v>7779876</v>
      </c>
      <c r="F16" s="59">
        <f t="shared" si="10"/>
        <v>7102526</v>
      </c>
      <c r="G16" s="59">
        <f t="shared" si="10"/>
        <v>6349626</v>
      </c>
      <c r="H16" s="59">
        <f t="shared" si="10"/>
        <v>5614326</v>
      </c>
      <c r="I16" s="59">
        <f t="shared" si="10"/>
        <v>5225926</v>
      </c>
      <c r="J16" s="59">
        <f t="shared" si="10"/>
        <v>4770572</v>
      </c>
      <c r="K16" s="59">
        <f t="shared" si="10"/>
        <v>4363822</v>
      </c>
      <c r="L16" s="59">
        <f t="shared" si="10"/>
        <v>3918822</v>
      </c>
      <c r="M16" s="59">
        <f t="shared" si="10"/>
        <v>3420822</v>
      </c>
      <c r="N16" s="59">
        <f t="shared" si="10"/>
        <v>2922822</v>
      </c>
      <c r="O16" s="59">
        <f t="shared" si="10"/>
        <v>2424822</v>
      </c>
      <c r="P16" s="59">
        <f t="shared" si="10"/>
        <v>1946322</v>
      </c>
      <c r="Q16" s="59">
        <f t="shared" si="10"/>
        <v>1476322</v>
      </c>
      <c r="R16" s="59">
        <f t="shared" si="10"/>
        <v>1006322</v>
      </c>
      <c r="S16" s="59">
        <f t="shared" si="10"/>
        <v>536322</v>
      </c>
      <c r="T16" s="59">
        <f>SUM(T17:T18)</f>
        <v>0</v>
      </c>
    </row>
    <row r="17" spans="1:20" s="57" customFormat="1" ht="19.5" customHeight="1">
      <c r="A17" s="55" t="s">
        <v>28</v>
      </c>
      <c r="B17" s="56">
        <v>2760969.32</v>
      </c>
      <c r="C17" s="56">
        <f aca="true" t="shared" si="11" ref="C17:S17">B17-C14+C11</f>
        <v>2069581.3199999998</v>
      </c>
      <c r="D17" s="56">
        <v>1546051.32</v>
      </c>
      <c r="E17" s="56">
        <f>D17-E14+E11</f>
        <v>7779876</v>
      </c>
      <c r="F17" s="56">
        <f t="shared" si="11"/>
        <v>7102526</v>
      </c>
      <c r="G17" s="56">
        <f t="shared" si="11"/>
        <v>6349626</v>
      </c>
      <c r="H17" s="56">
        <f t="shared" si="11"/>
        <v>5614326</v>
      </c>
      <c r="I17" s="56">
        <f t="shared" si="11"/>
        <v>5225926</v>
      </c>
      <c r="J17" s="56">
        <f t="shared" si="11"/>
        <v>4770572</v>
      </c>
      <c r="K17" s="56">
        <f t="shared" si="11"/>
        <v>4363822</v>
      </c>
      <c r="L17" s="56">
        <f t="shared" si="11"/>
        <v>3918822</v>
      </c>
      <c r="M17" s="56">
        <f t="shared" si="11"/>
        <v>3420822</v>
      </c>
      <c r="N17" s="56">
        <f t="shared" si="11"/>
        <v>2922822</v>
      </c>
      <c r="O17" s="56">
        <f t="shared" si="11"/>
        <v>2424822</v>
      </c>
      <c r="P17" s="56">
        <f t="shared" si="11"/>
        <v>1946322</v>
      </c>
      <c r="Q17" s="56">
        <f t="shared" si="11"/>
        <v>1476322</v>
      </c>
      <c r="R17" s="56">
        <f t="shared" si="11"/>
        <v>1006322</v>
      </c>
      <c r="S17" s="56">
        <f t="shared" si="11"/>
        <v>536322</v>
      </c>
      <c r="T17" s="56">
        <f>S17-T14+T11</f>
        <v>0</v>
      </c>
    </row>
    <row r="18" spans="1:20" s="57" customFormat="1" ht="19.5" customHeight="1">
      <c r="A18" s="55" t="s">
        <v>29</v>
      </c>
      <c r="B18" s="56">
        <v>0</v>
      </c>
      <c r="C18" s="56">
        <v>0</v>
      </c>
      <c r="D18" s="56">
        <v>0</v>
      </c>
      <c r="E18" s="56">
        <f>D18+E12-E15</f>
        <v>0</v>
      </c>
      <c r="F18" s="56">
        <f aca="true" t="shared" si="12" ref="F18:S18">E18+F12-F15</f>
        <v>0</v>
      </c>
      <c r="G18" s="56">
        <f t="shared" si="12"/>
        <v>0</v>
      </c>
      <c r="H18" s="56">
        <f t="shared" si="12"/>
        <v>0</v>
      </c>
      <c r="I18" s="56">
        <f t="shared" si="12"/>
        <v>0</v>
      </c>
      <c r="J18" s="56">
        <f t="shared" si="12"/>
        <v>0</v>
      </c>
      <c r="K18" s="56">
        <f t="shared" si="12"/>
        <v>0</v>
      </c>
      <c r="L18" s="56">
        <f t="shared" si="12"/>
        <v>0</v>
      </c>
      <c r="M18" s="56">
        <f t="shared" si="12"/>
        <v>0</v>
      </c>
      <c r="N18" s="56">
        <f t="shared" si="12"/>
        <v>0</v>
      </c>
      <c r="O18" s="56">
        <f t="shared" si="12"/>
        <v>0</v>
      </c>
      <c r="P18" s="56">
        <f t="shared" si="12"/>
        <v>0</v>
      </c>
      <c r="Q18" s="56">
        <f t="shared" si="12"/>
        <v>0</v>
      </c>
      <c r="R18" s="56">
        <f t="shared" si="12"/>
        <v>0</v>
      </c>
      <c r="S18" s="56">
        <f t="shared" si="12"/>
        <v>0</v>
      </c>
      <c r="T18" s="56">
        <f>S18+T12-T15</f>
        <v>0</v>
      </c>
    </row>
    <row r="19" spans="1:20" s="24" customFormat="1" ht="25.5" customHeight="1">
      <c r="A19" s="62" t="s">
        <v>1</v>
      </c>
      <c r="B19" s="23">
        <v>0</v>
      </c>
      <c r="C19" s="23">
        <v>0</v>
      </c>
      <c r="D19" s="63" t="s">
        <v>18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s="13" customFormat="1" ht="22.5" customHeight="1">
      <c r="A20" s="12" t="s">
        <v>12</v>
      </c>
      <c r="B20" s="20">
        <v>119474</v>
      </c>
      <c r="C20" s="20">
        <v>131732</v>
      </c>
      <c r="D20" s="68" t="s">
        <v>18</v>
      </c>
      <c r="E20" s="20">
        <v>204000</v>
      </c>
      <c r="F20" s="20">
        <v>355000</v>
      </c>
      <c r="G20" s="20">
        <v>350000</v>
      </c>
      <c r="H20" s="20">
        <v>303000</v>
      </c>
      <c r="I20" s="20">
        <v>266000</v>
      </c>
      <c r="J20" s="20">
        <v>238000</v>
      </c>
      <c r="K20" s="20">
        <v>209000</v>
      </c>
      <c r="L20" s="20">
        <v>182000</v>
      </c>
      <c r="M20" s="20">
        <v>155000</v>
      </c>
      <c r="N20" s="20">
        <v>129000</v>
      </c>
      <c r="O20" s="20">
        <v>102000</v>
      </c>
      <c r="P20" s="20">
        <v>75500</v>
      </c>
      <c r="Q20" s="20">
        <v>51000</v>
      </c>
      <c r="R20" s="20">
        <v>26700</v>
      </c>
      <c r="S20" s="20">
        <v>9000</v>
      </c>
      <c r="T20" s="20">
        <v>9000</v>
      </c>
    </row>
    <row r="21" spans="1:20" s="15" customFormat="1" ht="22.5" customHeight="1">
      <c r="A21" s="14" t="s">
        <v>16</v>
      </c>
      <c r="B21" s="21">
        <f>B2-B6</f>
        <v>698616.4500000011</v>
      </c>
      <c r="C21" s="21">
        <f>C2-C6</f>
        <v>987479.9199999999</v>
      </c>
      <c r="D21" s="39" t="s">
        <v>18</v>
      </c>
      <c r="E21" s="21">
        <f>E2-E6</f>
        <v>-6705731</v>
      </c>
      <c r="F21" s="21">
        <f>F2-F6</f>
        <v>-2412179</v>
      </c>
      <c r="G21" s="21">
        <f>G2-G6</f>
        <v>658200</v>
      </c>
      <c r="H21" s="21">
        <f>H2-H6</f>
        <v>923500</v>
      </c>
      <c r="I21" s="21">
        <f>I2-I6</f>
        <v>1590400</v>
      </c>
      <c r="J21" s="21">
        <f aca="true" t="shared" si="13" ref="J21:P21">J2-J6</f>
        <v>1795000</v>
      </c>
      <c r="K21" s="21">
        <f t="shared" si="13"/>
        <v>1908900</v>
      </c>
      <c r="L21" s="21">
        <f t="shared" si="13"/>
        <v>2132400</v>
      </c>
      <c r="M21" s="21">
        <f t="shared" si="13"/>
        <v>2275800</v>
      </c>
      <c r="N21" s="21">
        <f t="shared" si="13"/>
        <v>2519600</v>
      </c>
      <c r="O21" s="21">
        <f t="shared" si="13"/>
        <v>2774100</v>
      </c>
      <c r="P21" s="21">
        <f t="shared" si="13"/>
        <v>2839700</v>
      </c>
      <c r="Q21" s="21">
        <f>Q2-Q6</f>
        <v>3116800</v>
      </c>
      <c r="R21" s="21">
        <f>R2-R6</f>
        <v>3405800</v>
      </c>
      <c r="S21" s="21">
        <f>S2-S6</f>
        <v>3707200</v>
      </c>
      <c r="T21" s="21">
        <f>T2-T6</f>
        <v>4021300</v>
      </c>
    </row>
    <row r="22" spans="1:20" s="15" customFormat="1" ht="32.25" customHeight="1">
      <c r="A22" s="7" t="s">
        <v>19</v>
      </c>
      <c r="B22" s="42">
        <f>SUM(B18,B17)/B2</f>
        <v>0.2062441334573213</v>
      </c>
      <c r="C22" s="42">
        <f>SUM(C18,C17)/C2</f>
        <v>0.13510946794742415</v>
      </c>
      <c r="D22" s="11" t="s">
        <v>18</v>
      </c>
      <c r="E22" s="42">
        <f>E16/E2</f>
        <v>0.4595745465129048</v>
      </c>
      <c r="F22" s="42">
        <f>F16/F2</f>
        <v>0.4294099224918683</v>
      </c>
      <c r="G22" s="42">
        <f>G16/G2</f>
        <v>0.3917055927749195</v>
      </c>
      <c r="H22" s="42">
        <f>H16/H2</f>
        <v>0.3376225870467256</v>
      </c>
      <c r="I22" s="39" t="s">
        <v>18</v>
      </c>
      <c r="J22" s="39" t="s">
        <v>18</v>
      </c>
      <c r="K22" s="39" t="s">
        <v>18</v>
      </c>
      <c r="L22" s="39" t="s">
        <v>18</v>
      </c>
      <c r="M22" s="39" t="s">
        <v>18</v>
      </c>
      <c r="N22" s="39" t="s">
        <v>18</v>
      </c>
      <c r="O22" s="39" t="s">
        <v>18</v>
      </c>
      <c r="P22" s="39" t="s">
        <v>18</v>
      </c>
      <c r="Q22" s="39" t="s">
        <v>18</v>
      </c>
      <c r="R22" s="39" t="s">
        <v>18</v>
      </c>
      <c r="S22" s="39" t="s">
        <v>18</v>
      </c>
      <c r="T22" s="39" t="s">
        <v>18</v>
      </c>
    </row>
    <row r="23" spans="1:20" s="10" customFormat="1" ht="32.25" customHeight="1">
      <c r="A23" s="7" t="s">
        <v>21</v>
      </c>
      <c r="B23" s="42">
        <f>B17/B2</f>
        <v>0.2062441334573213</v>
      </c>
      <c r="C23" s="42">
        <f>C17/C2</f>
        <v>0.13510946794742415</v>
      </c>
      <c r="D23" s="11" t="s">
        <v>18</v>
      </c>
      <c r="E23" s="42">
        <f>E17/E2</f>
        <v>0.4595745465129048</v>
      </c>
      <c r="F23" s="42">
        <f>F17/F2</f>
        <v>0.4294099224918683</v>
      </c>
      <c r="G23" s="42">
        <f>G17/G2</f>
        <v>0.3917055927749195</v>
      </c>
      <c r="H23" s="42">
        <f>H17/H2</f>
        <v>0.3376225870467256</v>
      </c>
      <c r="I23" s="11" t="s">
        <v>18</v>
      </c>
      <c r="J23" s="11" t="s">
        <v>18</v>
      </c>
      <c r="K23" s="11" t="s">
        <v>18</v>
      </c>
      <c r="L23" s="11" t="s">
        <v>18</v>
      </c>
      <c r="M23" s="11" t="s">
        <v>18</v>
      </c>
      <c r="N23" s="11" t="s">
        <v>18</v>
      </c>
      <c r="O23" s="11" t="s">
        <v>18</v>
      </c>
      <c r="P23" s="11" t="s">
        <v>18</v>
      </c>
      <c r="Q23" s="11" t="s">
        <v>18</v>
      </c>
      <c r="R23" s="11" t="s">
        <v>18</v>
      </c>
      <c r="S23" s="11" t="s">
        <v>18</v>
      </c>
      <c r="T23" s="11" t="s">
        <v>18</v>
      </c>
    </row>
    <row r="24" spans="1:20" s="15" customFormat="1" ht="32.25" customHeight="1">
      <c r="A24" s="7" t="s">
        <v>20</v>
      </c>
      <c r="B24" s="42">
        <f>SUM(B14:B15,B19,B20)/B2</f>
        <v>0.05133459331498085</v>
      </c>
      <c r="C24" s="42">
        <f aca="true" t="shared" si="14" ref="C24:H24">SUM(C14:C15,C19,C20)/C2</f>
        <v>0.05373613695782863</v>
      </c>
      <c r="D24" s="11" t="s">
        <v>18</v>
      </c>
      <c r="E24" s="42">
        <f t="shared" si="14"/>
        <v>0.08822880986430462</v>
      </c>
      <c r="F24" s="42">
        <f t="shared" si="14"/>
        <v>0.06241460199997582</v>
      </c>
      <c r="G24" s="42">
        <f t="shared" si="14"/>
        <v>0.06803740854523695</v>
      </c>
      <c r="H24" s="42">
        <f t="shared" si="14"/>
        <v>0.06243911239401046</v>
      </c>
      <c r="I24" s="39" t="s">
        <v>18</v>
      </c>
      <c r="J24" s="39" t="s">
        <v>18</v>
      </c>
      <c r="K24" s="39" t="s">
        <v>18</v>
      </c>
      <c r="L24" s="39" t="s">
        <v>18</v>
      </c>
      <c r="M24" s="39" t="s">
        <v>18</v>
      </c>
      <c r="N24" s="39" t="s">
        <v>18</v>
      </c>
      <c r="O24" s="39" t="s">
        <v>18</v>
      </c>
      <c r="P24" s="39" t="s">
        <v>18</v>
      </c>
      <c r="Q24" s="39" t="s">
        <v>18</v>
      </c>
      <c r="R24" s="39" t="s">
        <v>18</v>
      </c>
      <c r="S24" s="39" t="s">
        <v>18</v>
      </c>
      <c r="T24" s="39" t="s">
        <v>18</v>
      </c>
    </row>
    <row r="25" spans="1:20" s="10" customFormat="1" ht="30" customHeight="1">
      <c r="A25" s="7" t="s">
        <v>22</v>
      </c>
      <c r="B25" s="42">
        <f>SUM(B14,B19,B20)/B2</f>
        <v>0.05133459331498085</v>
      </c>
      <c r="C25" s="42">
        <f aca="true" t="shared" si="15" ref="C25:H25">SUM(C14,C19,C20)/C2</f>
        <v>0.05373613695782863</v>
      </c>
      <c r="D25" s="11" t="s">
        <v>18</v>
      </c>
      <c r="E25" s="42">
        <f t="shared" si="15"/>
        <v>0.0410198275315651</v>
      </c>
      <c r="F25" s="42">
        <f t="shared" si="15"/>
        <v>0.06241460199997582</v>
      </c>
      <c r="G25" s="42">
        <f t="shared" si="15"/>
        <v>0.06803740854523695</v>
      </c>
      <c r="H25" s="42">
        <f t="shared" si="15"/>
        <v>0.06243911239401046</v>
      </c>
      <c r="I25" s="11" t="s">
        <v>18</v>
      </c>
      <c r="J25" s="11" t="s">
        <v>18</v>
      </c>
      <c r="K25" s="11" t="s">
        <v>18</v>
      </c>
      <c r="L25" s="11" t="s">
        <v>18</v>
      </c>
      <c r="M25" s="11" t="s">
        <v>18</v>
      </c>
      <c r="N25" s="11" t="s">
        <v>18</v>
      </c>
      <c r="O25" s="11" t="s">
        <v>18</v>
      </c>
      <c r="P25" s="11" t="s">
        <v>18</v>
      </c>
      <c r="Q25" s="11" t="s">
        <v>18</v>
      </c>
      <c r="R25" s="11" t="s">
        <v>18</v>
      </c>
      <c r="S25" s="11" t="s">
        <v>18</v>
      </c>
      <c r="T25" s="11" t="s">
        <v>18</v>
      </c>
    </row>
    <row r="26" spans="1:20" s="74" customFormat="1" ht="19.5" customHeight="1" hidden="1">
      <c r="A26" s="71" t="s">
        <v>9</v>
      </c>
      <c r="B26" s="72">
        <f aca="true" t="shared" si="16" ref="B26:S26">SUM(B11:B11)-SUM(B14:B14)+B21</f>
        <v>279879.4500000011</v>
      </c>
      <c r="C26" s="72">
        <f t="shared" si="16"/>
        <v>296091.9199999999</v>
      </c>
      <c r="D26" s="73" t="s">
        <v>18</v>
      </c>
      <c r="E26" s="72">
        <f t="shared" si="16"/>
        <v>-471906.3200000003</v>
      </c>
      <c r="F26" s="72">
        <f t="shared" si="16"/>
        <v>-3089529</v>
      </c>
      <c r="G26" s="72">
        <f t="shared" si="16"/>
        <v>-94700</v>
      </c>
      <c r="H26" s="72">
        <f t="shared" si="16"/>
        <v>188200</v>
      </c>
      <c r="I26" s="72">
        <f t="shared" si="16"/>
        <v>1202000</v>
      </c>
      <c r="J26" s="72">
        <f t="shared" si="16"/>
        <v>1339646</v>
      </c>
      <c r="K26" s="72">
        <f t="shared" si="16"/>
        <v>1502150</v>
      </c>
      <c r="L26" s="72">
        <f t="shared" si="16"/>
        <v>1687400</v>
      </c>
      <c r="M26" s="72">
        <f t="shared" si="16"/>
        <v>1777800</v>
      </c>
      <c r="N26" s="72">
        <f t="shared" si="16"/>
        <v>2021600</v>
      </c>
      <c r="O26" s="72">
        <f t="shared" si="16"/>
        <v>2276100</v>
      </c>
      <c r="P26" s="72">
        <f t="shared" si="16"/>
        <v>2361200</v>
      </c>
      <c r="Q26" s="72">
        <f t="shared" si="16"/>
        <v>2646800</v>
      </c>
      <c r="R26" s="72">
        <f t="shared" si="16"/>
        <v>2935800</v>
      </c>
      <c r="S26" s="72">
        <f t="shared" si="16"/>
        <v>3237200</v>
      </c>
      <c r="T26" s="72">
        <f>SUM(T11:T11)-SUM(T14:T14)+T21</f>
        <v>3484978</v>
      </c>
    </row>
    <row r="27" spans="1:20" s="54" customFormat="1" ht="30" customHeight="1">
      <c r="A27" s="53" t="s">
        <v>13</v>
      </c>
      <c r="B27" s="53">
        <v>475634.47</v>
      </c>
      <c r="C27" s="53">
        <v>756956.51</v>
      </c>
      <c r="D27" s="69" t="s">
        <v>18</v>
      </c>
      <c r="E27" s="53">
        <v>471907.5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s="27" customFormat="1" ht="14.25" customHeight="1">
      <c r="A28" s="28"/>
      <c r="B28" s="28"/>
      <c r="C28" s="26"/>
      <c r="D28" s="70"/>
      <c r="E28" s="26"/>
      <c r="F28" s="26"/>
      <c r="G28" s="26"/>
      <c r="H28" s="26"/>
      <c r="I28" s="2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27" customFormat="1" ht="24.75" customHeight="1">
      <c r="A29" s="29" t="s">
        <v>25</v>
      </c>
      <c r="B29" s="40" t="s">
        <v>18</v>
      </c>
      <c r="C29" s="40" t="s">
        <v>18</v>
      </c>
      <c r="D29" s="40" t="s">
        <v>18</v>
      </c>
      <c r="E29" s="40" t="s">
        <v>18</v>
      </c>
      <c r="F29" s="41">
        <f aca="true" t="shared" si="17" ref="F29:S29">F3-F7+F27</f>
        <v>200</v>
      </c>
      <c r="G29" s="31">
        <f t="shared" si="17"/>
        <v>608200</v>
      </c>
      <c r="H29" s="31">
        <f t="shared" si="17"/>
        <v>933500</v>
      </c>
      <c r="I29" s="31">
        <f t="shared" si="17"/>
        <v>1600400</v>
      </c>
      <c r="J29" s="31">
        <f t="shared" si="17"/>
        <v>1805000</v>
      </c>
      <c r="K29" s="31">
        <f t="shared" si="17"/>
        <v>2018900</v>
      </c>
      <c r="L29" s="31">
        <f t="shared" si="17"/>
        <v>2242400</v>
      </c>
      <c r="M29" s="31">
        <f t="shared" si="17"/>
        <v>2475800</v>
      </c>
      <c r="N29" s="31">
        <f t="shared" si="17"/>
        <v>2719600</v>
      </c>
      <c r="O29" s="31">
        <f t="shared" si="17"/>
        <v>2974100</v>
      </c>
      <c r="P29" s="31">
        <f t="shared" si="17"/>
        <v>3239700</v>
      </c>
      <c r="Q29" s="31">
        <f t="shared" si="17"/>
        <v>3516800</v>
      </c>
      <c r="R29" s="31">
        <f t="shared" si="17"/>
        <v>3805800</v>
      </c>
      <c r="S29" s="31">
        <f t="shared" si="17"/>
        <v>4107200</v>
      </c>
      <c r="T29" s="31">
        <f>T3-T7+T27</f>
        <v>4421300</v>
      </c>
    </row>
    <row r="30" spans="1:20" s="27" customFormat="1" ht="31.5" customHeight="1">
      <c r="A30" s="32" t="s">
        <v>30</v>
      </c>
      <c r="B30" s="28"/>
      <c r="C30" s="26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27" customFormat="1" ht="27.75" customHeight="1">
      <c r="A31" s="29" t="s">
        <v>23</v>
      </c>
      <c r="B31" s="48" t="s">
        <v>18</v>
      </c>
      <c r="C31" s="48" t="s">
        <v>18</v>
      </c>
      <c r="D31" s="48"/>
      <c r="E31" s="43" t="s">
        <v>18</v>
      </c>
      <c r="F31" s="35">
        <f>(F3+F5-F7)/F2</f>
        <v>0.00847631830328533</v>
      </c>
      <c r="G31" s="35">
        <f>(G3+G5-G7)/G2</f>
        <v>0.04615612392197505</v>
      </c>
      <c r="H31" s="35">
        <f aca="true" t="shared" si="18" ref="H31:S31">(H3+H5-H7)/H2</f>
        <v>0.05914366468218173</v>
      </c>
      <c r="I31" s="35">
        <f>(I3+I5-I7)/I2</f>
        <v>0.09228124462781502</v>
      </c>
      <c r="J31" s="35">
        <f t="shared" si="18"/>
        <v>0.10100841458528115</v>
      </c>
      <c r="K31" s="35">
        <f t="shared" si="18"/>
        <v>0.10965722995103284</v>
      </c>
      <c r="L31" s="35">
        <f t="shared" si="18"/>
        <v>0.1182262907052426</v>
      </c>
      <c r="M31" s="35">
        <f t="shared" si="18"/>
        <v>0.1272980529922058</v>
      </c>
      <c r="N31" s="35">
        <f t="shared" si="18"/>
        <v>0.1357321160406162</v>
      </c>
      <c r="O31" s="35">
        <f t="shared" si="18"/>
        <v>0.14408633301948287</v>
      </c>
      <c r="P31" s="35">
        <f t="shared" si="18"/>
        <v>0.1523620644386932</v>
      </c>
      <c r="Q31" s="35">
        <f t="shared" si="18"/>
        <v>0.16055941763749845</v>
      </c>
      <c r="R31" s="35">
        <f t="shared" si="18"/>
        <v>0.16867874651330358</v>
      </c>
      <c r="S31" s="35">
        <f t="shared" si="18"/>
        <v>0.17672358288907775</v>
      </c>
      <c r="T31" s="35">
        <f>(T3+T5-T7)/T2</f>
        <v>0.18468905902897892</v>
      </c>
    </row>
    <row r="32" spans="1:20" s="27" customFormat="1" ht="27.75" customHeight="1">
      <c r="A32" s="38" t="s">
        <v>24</v>
      </c>
      <c r="B32" s="46"/>
      <c r="C32" s="47"/>
      <c r="D32" s="47"/>
      <c r="E32" s="43" t="s">
        <v>18</v>
      </c>
      <c r="F32" s="43" t="s">
        <v>18</v>
      </c>
      <c r="G32" s="43" t="s">
        <v>18</v>
      </c>
      <c r="H32" s="43" t="s">
        <v>18</v>
      </c>
      <c r="I32" s="35">
        <f>SUM(F31:H31)/3</f>
        <v>0.03792536896914737</v>
      </c>
      <c r="J32" s="35">
        <f aca="true" t="shared" si="19" ref="J32:T32">SUM(G31:I31)/3</f>
        <v>0.06586034441065726</v>
      </c>
      <c r="K32" s="35">
        <f t="shared" si="19"/>
        <v>0.08414444129842596</v>
      </c>
      <c r="L32" s="35">
        <f t="shared" si="19"/>
        <v>0.100982296388043</v>
      </c>
      <c r="M32" s="35">
        <f t="shared" si="19"/>
        <v>0.10963064508051885</v>
      </c>
      <c r="N32" s="35">
        <f t="shared" si="19"/>
        <v>0.11839385788282708</v>
      </c>
      <c r="O32" s="35">
        <f t="shared" si="19"/>
        <v>0.12708548657935487</v>
      </c>
      <c r="P32" s="35">
        <f t="shared" si="19"/>
        <v>0.13570550068410162</v>
      </c>
      <c r="Q32" s="35">
        <f t="shared" si="19"/>
        <v>0.1440601711662641</v>
      </c>
      <c r="R32" s="35">
        <f t="shared" si="19"/>
        <v>0.15233593836522485</v>
      </c>
      <c r="S32" s="35">
        <f t="shared" si="19"/>
        <v>0.16053340952983175</v>
      </c>
      <c r="T32" s="35">
        <f t="shared" si="19"/>
        <v>0.16865391567995994</v>
      </c>
    </row>
    <row r="33" spans="1:20" s="27" customFormat="1" ht="27.75" customHeight="1">
      <c r="A33" s="36" t="s">
        <v>14</v>
      </c>
      <c r="B33" s="30"/>
      <c r="C33" s="34"/>
      <c r="D33" s="34"/>
      <c r="E33" s="43" t="s">
        <v>18</v>
      </c>
      <c r="F33" s="43" t="s">
        <v>18</v>
      </c>
      <c r="G33" s="43" t="s">
        <v>18</v>
      </c>
      <c r="H33" s="43" t="s">
        <v>18</v>
      </c>
      <c r="I33" s="35">
        <f aca="true" t="shared" si="20" ref="I33:S33">SUM(I14,I20)/I2</f>
        <v>0.03749928370866999</v>
      </c>
      <c r="J33" s="35">
        <f t="shared" si="20"/>
        <v>0.03858655002003473</v>
      </c>
      <c r="K33" s="35">
        <f t="shared" si="20"/>
        <v>0.03327982618283231</v>
      </c>
      <c r="L33" s="35">
        <f t="shared" si="20"/>
        <v>0.03291062168006886</v>
      </c>
      <c r="M33" s="35">
        <f t="shared" si="20"/>
        <v>0.033440191730593934</v>
      </c>
      <c r="N33" s="35">
        <f t="shared" si="20"/>
        <v>0.031178208073514933</v>
      </c>
      <c r="O33" s="35">
        <f t="shared" si="20"/>
        <v>0.028970811907003693</v>
      </c>
      <c r="P33" s="35">
        <f t="shared" si="20"/>
        <v>0.02597426953227561</v>
      </c>
      <c r="Q33" s="35">
        <f t="shared" si="20"/>
        <v>0.02371879794406734</v>
      </c>
      <c r="R33" s="35">
        <f t="shared" si="20"/>
        <v>0.02195679369808635</v>
      </c>
      <c r="S33" s="35">
        <f t="shared" si="20"/>
        <v>0.020560234189222832</v>
      </c>
      <c r="T33" s="35">
        <f>SUM(T14,T20)/T2</f>
        <v>0.022728094926500315</v>
      </c>
    </row>
    <row r="34" spans="1:20" s="27" customFormat="1" ht="36" customHeight="1">
      <c r="A34" s="45" t="s">
        <v>32</v>
      </c>
      <c r="B34" s="30"/>
      <c r="C34" s="34"/>
      <c r="D34" s="34"/>
      <c r="E34" s="44" t="s">
        <v>18</v>
      </c>
      <c r="F34" s="44" t="s">
        <v>18</v>
      </c>
      <c r="G34" s="44" t="s">
        <v>18</v>
      </c>
      <c r="H34" s="44" t="s">
        <v>18</v>
      </c>
      <c r="I34" s="37">
        <f aca="true" t="shared" si="21" ref="I34:T34">I32-I33</f>
        <v>0.00042608526047737544</v>
      </c>
      <c r="J34" s="37">
        <f t="shared" si="21"/>
        <v>0.02727379439062253</v>
      </c>
      <c r="K34" s="37">
        <f t="shared" si="21"/>
        <v>0.050864615115593655</v>
      </c>
      <c r="L34" s="37">
        <f t="shared" si="21"/>
        <v>0.06807167470797414</v>
      </c>
      <c r="M34" s="37">
        <f t="shared" si="21"/>
        <v>0.07619045334992491</v>
      </c>
      <c r="N34" s="37">
        <f t="shared" si="21"/>
        <v>0.08721564980931215</v>
      </c>
      <c r="O34" s="37">
        <f t="shared" si="21"/>
        <v>0.09811467467235117</v>
      </c>
      <c r="P34" s="37">
        <f t="shared" si="21"/>
        <v>0.10973123115182601</v>
      </c>
      <c r="Q34" s="37">
        <f t="shared" si="21"/>
        <v>0.12034137322219676</v>
      </c>
      <c r="R34" s="37">
        <f t="shared" si="21"/>
        <v>0.1303791446671385</v>
      </c>
      <c r="S34" s="37">
        <f t="shared" si="21"/>
        <v>0.1399731753406089</v>
      </c>
      <c r="T34" s="37">
        <f t="shared" si="21"/>
        <v>0.1459258207534596</v>
      </c>
    </row>
    <row r="35" spans="1:20" s="81" customFormat="1" ht="36" customHeight="1" hidden="1">
      <c r="A35" s="75" t="s">
        <v>11</v>
      </c>
      <c r="B35" s="76"/>
      <c r="C35" s="77"/>
      <c r="D35" s="78"/>
      <c r="E35" s="79" t="s">
        <v>18</v>
      </c>
      <c r="F35" s="79" t="s">
        <v>18</v>
      </c>
      <c r="G35" s="79" t="s">
        <v>18</v>
      </c>
      <c r="H35" s="79" t="s">
        <v>18</v>
      </c>
      <c r="I35" s="80">
        <f aca="true" t="shared" si="22" ref="I35:T35">I34*I2</f>
        <v>7435.6138805906785</v>
      </c>
      <c r="J35" s="80">
        <f t="shared" si="22"/>
        <v>490077.35664621816</v>
      </c>
      <c r="K35" s="80">
        <f t="shared" si="22"/>
        <v>941107.281791737</v>
      </c>
      <c r="L35" s="80">
        <f t="shared" si="22"/>
        <v>1296874.3178664402</v>
      </c>
      <c r="M35" s="80">
        <f t="shared" si="22"/>
        <v>1487801.4587453238</v>
      </c>
      <c r="N35" s="80">
        <f t="shared" si="22"/>
        <v>1753924.1607952293</v>
      </c>
      <c r="O35" s="80">
        <f t="shared" si="22"/>
        <v>2032003.969801729</v>
      </c>
      <c r="P35" s="80">
        <f t="shared" si="22"/>
        <v>2340435.4829910668</v>
      </c>
      <c r="Q35" s="80">
        <f t="shared" si="22"/>
        <v>2643382.5017868076</v>
      </c>
      <c r="R35" s="80">
        <f t="shared" si="22"/>
        <v>2949397.8969166074</v>
      </c>
      <c r="S35" s="80">
        <f t="shared" si="22"/>
        <v>3261011.055180302</v>
      </c>
      <c r="T35" s="80">
        <f t="shared" si="22"/>
        <v>3501241.9950839826</v>
      </c>
    </row>
    <row r="36" spans="1:20" ht="28.5" customHeight="1">
      <c r="A36" s="50" t="s">
        <v>31</v>
      </c>
      <c r="B36" s="51"/>
      <c r="C36" s="52"/>
      <c r="D36" s="52"/>
      <c r="E36" s="44" t="s">
        <v>18</v>
      </c>
      <c r="F36" s="44" t="s">
        <v>18</v>
      </c>
      <c r="G36" s="44" t="s">
        <v>18</v>
      </c>
      <c r="H36" s="44" t="s">
        <v>18</v>
      </c>
      <c r="I36" s="49" t="str">
        <f>IF(I35&gt;=0,"NIE","TAK")</f>
        <v>NIE</v>
      </c>
      <c r="J36" s="49" t="str">
        <f aca="true" t="shared" si="23" ref="J36:T36">IF(J35&gt;=0,"NIE","TAK")</f>
        <v>NIE</v>
      </c>
      <c r="K36" s="49" t="str">
        <f t="shared" si="23"/>
        <v>NIE</v>
      </c>
      <c r="L36" s="49" t="str">
        <f t="shared" si="23"/>
        <v>NIE</v>
      </c>
      <c r="M36" s="49" t="str">
        <f t="shared" si="23"/>
        <v>NIE</v>
      </c>
      <c r="N36" s="49" t="str">
        <f t="shared" si="23"/>
        <v>NIE</v>
      </c>
      <c r="O36" s="49" t="str">
        <f t="shared" si="23"/>
        <v>NIE</v>
      </c>
      <c r="P36" s="49" t="str">
        <f t="shared" si="23"/>
        <v>NIE</v>
      </c>
      <c r="Q36" s="49" t="str">
        <f t="shared" si="23"/>
        <v>NIE</v>
      </c>
      <c r="R36" s="49" t="str">
        <f t="shared" si="23"/>
        <v>NIE</v>
      </c>
      <c r="S36" s="49" t="str">
        <f t="shared" si="23"/>
        <v>NIE</v>
      </c>
      <c r="T36" s="49" t="str">
        <f t="shared" si="23"/>
        <v>NIE</v>
      </c>
    </row>
  </sheetData>
  <printOptions/>
  <pageMargins left="0.5511811023622047" right="0.3937007874015748" top="0.88" bottom="0.51" header="0.39" footer="0.26"/>
  <pageSetup horizontalDpi="600" verticalDpi="600" orientation="landscape" paperSize="9" scale="60" r:id="rId1"/>
  <headerFooter alignWithMargins="0">
    <oddHeader>&amp;CPrognoza kwoty długu na lata 2010-2025&amp;RZałącznik Nr 1
do Zarządzania Nr 38/10
Wójta Gminy Lipka
z dnia 29 października 2010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Lipka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Mathews</dc:creator>
  <cp:keywords/>
  <dc:description/>
  <cp:lastModifiedBy>X</cp:lastModifiedBy>
  <cp:lastPrinted>2010-10-29T12:30:39Z</cp:lastPrinted>
  <dcterms:created xsi:type="dcterms:W3CDTF">2008-03-03T09:29:01Z</dcterms:created>
  <dcterms:modified xsi:type="dcterms:W3CDTF">2010-10-29T12:48:36Z</dcterms:modified>
  <cp:category/>
  <cp:version/>
  <cp:contentType/>
  <cp:contentStatus/>
</cp:coreProperties>
</file>