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" activeTab="3"/>
  </bookViews>
  <sheets>
    <sheet name="sierpień" sheetId="1" r:id="rId1"/>
    <sheet name="projekt 2010" sheetId="2" r:id="rId2"/>
    <sheet name="podział wydatków" sheetId="3" r:id="rId3"/>
    <sheet name="podział wydatków bieżących" sheetId="4" r:id="rId4"/>
    <sheet name="podział wydatków majątkowych" sheetId="5" r:id="rId5"/>
    <sheet name="alkoholowe" sheetId="6" r:id="rId6"/>
    <sheet name="opł.produktowa" sheetId="7" r:id="rId7"/>
    <sheet name="dochody rządowe" sheetId="8" r:id="rId8"/>
    <sheet name="wydatki rządowe" sheetId="9" r:id="rId9"/>
    <sheet name="dotacje udzielone" sheetId="10" r:id="rId10"/>
    <sheet name="WPI 2010-2012" sheetId="11" r:id="rId11"/>
    <sheet name="Arkusz2" sheetId="12" r:id="rId12"/>
  </sheets>
  <definedNames>
    <definedName name="_xlnm.Print_Area" localSheetId="3">'podział wydatków bieżących'!$A$1:$R$84</definedName>
    <definedName name="_xlnm.Print_Area" localSheetId="1">'projekt 2010'!$A$1:$G$538</definedName>
    <definedName name="_xlnm.Print_Area" localSheetId="0">'sierpień'!$A$1:$E$360</definedName>
  </definedNames>
  <calcPr fullCalcOnLoad="1"/>
</workbook>
</file>

<file path=xl/sharedStrings.xml><?xml version="1.0" encoding="utf-8"?>
<sst xmlns="http://schemas.openxmlformats.org/spreadsheetml/2006/main" count="3046" uniqueCount="592">
  <si>
    <t>Dział</t>
  </si>
  <si>
    <t>Rozdział</t>
  </si>
  <si>
    <t>Nazwa</t>
  </si>
  <si>
    <t>Plan (kwota w zł)</t>
  </si>
  <si>
    <t>Wykonanie (w zł)</t>
  </si>
  <si>
    <t>%</t>
  </si>
  <si>
    <t>Paragraf</t>
  </si>
  <si>
    <t>010</t>
  </si>
  <si>
    <t>Rolnictwo i łowiectwo</t>
  </si>
  <si>
    <t>01030</t>
  </si>
  <si>
    <t>Izby Rolnicze</t>
  </si>
  <si>
    <t>2850</t>
  </si>
  <si>
    <t xml:space="preserve">Wpłaty gmin na rzecz izb rolniczych w wysokości </t>
  </si>
  <si>
    <t>2% uzyskanych wpływów z podatku rolnego</t>
  </si>
  <si>
    <t>01095</t>
  </si>
  <si>
    <t>Pozostała działalność</t>
  </si>
  <si>
    <t>4300</t>
  </si>
  <si>
    <t>Zakup usług pozostałych</t>
  </si>
  <si>
    <t>020</t>
  </si>
  <si>
    <t>Leśnictwo</t>
  </si>
  <si>
    <t>02001</t>
  </si>
  <si>
    <t>Gospodarka leśna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</si>
  <si>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</si>
  <si>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</si>
  <si>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</si>
  <si>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</si>
  <si>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</si>
  <si>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</si>
  <si>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</si>
  <si>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</si>
  <si>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4140</t>
  </si>
  <si>
    <t>Wpłaty na PERON</t>
  </si>
  <si>
    <t>4170</t>
  </si>
  <si>
    <t>Wynagrodzenia bezosobowe</t>
  </si>
  <si>
    <t>4210</t>
  </si>
  <si>
    <t>Zakup materiałów i wyposażenia</t>
  </si>
  <si>
    <t>4410</t>
  </si>
  <si>
    <t>Podróże służbowe krajowe</t>
  </si>
  <si>
    <t>4440</t>
  </si>
  <si>
    <t>Odpis na ZFŚS</t>
  </si>
  <si>
    <t>600</t>
  </si>
  <si>
    <t>Transport i łączność</t>
  </si>
  <si>
    <t>60016</t>
  </si>
  <si>
    <t>Drogi publiczne gminne</t>
  </si>
  <si>
    <t>4270</t>
  </si>
  <si>
    <t>Zakup usług remontowych</t>
  </si>
  <si>
    <t>60078</t>
  </si>
  <si>
    <t>Usuwanie skutków klęsk żywiołowych</t>
  </si>
  <si>
    <t>700</t>
  </si>
  <si>
    <t>Gospodarka mieszkaniowa</t>
  </si>
  <si>
    <t>70005</t>
  </si>
  <si>
    <t>Gospodarka gruntami i nieruchomościami</t>
  </si>
  <si>
    <t xml:space="preserve">Zakup usług pozostałych </t>
  </si>
  <si>
    <t>4430</t>
  </si>
  <si>
    <t>Różne opłaty i składki</t>
  </si>
  <si>
    <t>750</t>
  </si>
  <si>
    <t xml:space="preserve">Administracja publiczna </t>
  </si>
  <si>
    <t>75011</t>
  </si>
  <si>
    <t xml:space="preserve">Urzędy Wojewódzkie </t>
  </si>
  <si>
    <t>Wpłaty na PFRON</t>
  </si>
  <si>
    <t>75022</t>
  </si>
  <si>
    <t>Rady gmin</t>
  </si>
  <si>
    <t>3030</t>
  </si>
  <si>
    <t>Różne wydatki na rzecz osób fizycznych</t>
  </si>
  <si>
    <t>75023</t>
  </si>
  <si>
    <t>Urzędy gmin</t>
  </si>
  <si>
    <t>Wynagrodzenie osobowe pracowników</t>
  </si>
  <si>
    <t>Dodatkowe wynagrodzenie roczne</t>
  </si>
  <si>
    <t>4260</t>
  </si>
  <si>
    <t>Zakup energii</t>
  </si>
  <si>
    <t>4280</t>
  </si>
  <si>
    <t>Zakup usług zdrowotnych</t>
  </si>
  <si>
    <t>Odpisy na ZFŚS</t>
  </si>
  <si>
    <t>6060</t>
  </si>
  <si>
    <t xml:space="preserve">Wydatki na zakupy inwestycyjne jednostek </t>
  </si>
  <si>
    <t>budżetowych</t>
  </si>
  <si>
    <t>75095</t>
  </si>
  <si>
    <t>751</t>
  </si>
  <si>
    <t xml:space="preserve">Urzędy naczelnych organów władzy państwowej, </t>
  </si>
  <si>
    <t>kontroli i ochrony prawa oraz sądownictwa</t>
  </si>
  <si>
    <t>75101</t>
  </si>
  <si>
    <t>Urzędy naczelnych organów władzy państwowej,</t>
  </si>
  <si>
    <t>kontroli i ochrony prawa</t>
  </si>
  <si>
    <t>754</t>
  </si>
  <si>
    <t xml:space="preserve">Bezpieczeństwo publiczne i ochrona </t>
  </si>
  <si>
    <t>przeciwpożarowa</t>
  </si>
  <si>
    <t>75412</t>
  </si>
  <si>
    <t>Ochotnicze Straże Pożarne</t>
  </si>
  <si>
    <t>75495</t>
  </si>
  <si>
    <t>6050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</si>
  <si>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</si>
  <si>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</si>
  <si>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</si>
  <si>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</si>
  <si>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</si>
  <si>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</si>
  <si>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</si>
  <si>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 xml:space="preserve">Oświata i wychowanie </t>
  </si>
  <si>
    <t>Wydatki inwestycyjne jednostek budżetowych</t>
  </si>
  <si>
    <t>851</t>
  </si>
  <si>
    <t>Ochrona zdrowia</t>
  </si>
  <si>
    <t>85154</t>
  </si>
  <si>
    <t>Przeciwdziałanie alkoholizmowi</t>
  </si>
  <si>
    <t>85195</t>
  </si>
  <si>
    <t>2820</t>
  </si>
  <si>
    <t xml:space="preserve">Dotacja celowa z budżetu na finansowanie </t>
  </si>
  <si>
    <t xml:space="preserve">lub dofinansowanie zadań zleconych do </t>
  </si>
  <si>
    <t>realizacji stowarzyszeniom</t>
  </si>
  <si>
    <t>852</t>
  </si>
  <si>
    <t>Pomoc społeczna</t>
  </si>
  <si>
    <t>85202</t>
  </si>
  <si>
    <t>Domy pomocy społecznej</t>
  </si>
  <si>
    <t>85212</t>
  </si>
  <si>
    <t xml:space="preserve">Świadczenia rodzinne oraz składki na </t>
  </si>
  <si>
    <t>ubezpieczenie emerytalne i rentowe</t>
  </si>
  <si>
    <t>z ubezpieczenia społecznego</t>
  </si>
  <si>
    <t>3110</t>
  </si>
  <si>
    <t>Świadczenia społeczne</t>
  </si>
  <si>
    <t>85213</t>
  </si>
  <si>
    <t>Składki na ubezpieczenie zdrowotne</t>
  </si>
  <si>
    <t>4130</t>
  </si>
  <si>
    <t>85214</t>
  </si>
  <si>
    <t xml:space="preserve">Zasiłki i pomoc w naturze oraz składki </t>
  </si>
  <si>
    <t>na ubezpieczenie społeczne</t>
  </si>
  <si>
    <t>85215</t>
  </si>
  <si>
    <t>Dodatki mieszkaniowe</t>
  </si>
  <si>
    <t>85219</t>
  </si>
  <si>
    <t xml:space="preserve">Ośrodki pomocy społecznej </t>
  </si>
  <si>
    <t>85228</t>
  </si>
  <si>
    <t xml:space="preserve">Usługi opiekuńcze i specjalistyczne usługi </t>
  </si>
  <si>
    <t>opiekuńcze</t>
  </si>
  <si>
    <t>85295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</si>
  <si>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</si>
  <si>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</si>
  <si>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</si>
  <si>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</si>
  <si>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</si>
  <si>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</si>
  <si>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85495</t>
  </si>
  <si>
    <t>900</t>
  </si>
  <si>
    <t>Gospodarka komunalna i ochrona środowiska</t>
  </si>
  <si>
    <t>90015</t>
  </si>
  <si>
    <t>Oświetlenie ulic, placów i dróg</t>
  </si>
  <si>
    <t>90017</t>
  </si>
  <si>
    <t>Zakłady gospodarki komunalnej</t>
  </si>
  <si>
    <t>2650</t>
  </si>
  <si>
    <t xml:space="preserve">Dotacja przedmiotowa z budżetu dla zakładu </t>
  </si>
  <si>
    <t>budżetowego</t>
  </si>
  <si>
    <t>90095</t>
  </si>
  <si>
    <t>921</t>
  </si>
  <si>
    <t>Kultura i ochrona dziedzictwa narodowego</t>
  </si>
  <si>
    <t>92109</t>
  </si>
  <si>
    <t xml:space="preserve">Domy i ośrodki kultury, świetlice i kluby </t>
  </si>
  <si>
    <t>2480</t>
  </si>
  <si>
    <t xml:space="preserve">Dotacja podmiotowa z budżetu otrzymana przez </t>
  </si>
  <si>
    <t>przez instytucje kultury</t>
  </si>
  <si>
    <t>92116</t>
  </si>
  <si>
    <t>Biblioteki</t>
  </si>
  <si>
    <t>instytuje kultury</t>
  </si>
  <si>
    <t>926</t>
  </si>
  <si>
    <t>Kultura fizyczna i sport</t>
  </si>
  <si>
    <t>92695</t>
  </si>
  <si>
    <t>lub dofinansowanie zadań zleconych do</t>
  </si>
  <si>
    <t>Razem</t>
  </si>
  <si>
    <t>80101</t>
  </si>
  <si>
    <t>Szkoły podstawowe</t>
  </si>
  <si>
    <t>6300</t>
  </si>
  <si>
    <t>Wydatki na pomoc finansową udzielaną między</t>
  </si>
  <si>
    <t>jednostkami samorządu terytorialnego na dofinans.</t>
  </si>
  <si>
    <t>własnych zadań inwestycyjnych i zakupów inwest.</t>
  </si>
  <si>
    <t>80195</t>
  </si>
  <si>
    <t>3260</t>
  </si>
  <si>
    <t>Inne formy pomocy dla uczniów</t>
  </si>
  <si>
    <t>756</t>
  </si>
  <si>
    <t>75647</t>
  </si>
  <si>
    <t>Pobór podatków, opłat i nieopodatkowanych należności budżetowych</t>
  </si>
  <si>
    <t>Wydatki związane z poborem podatków i opłat</t>
  </si>
  <si>
    <t>4350</t>
  </si>
  <si>
    <t>Zakup usług dostępu do sieci Internet</t>
  </si>
  <si>
    <t>75075</t>
  </si>
  <si>
    <t>Promocja jednostek samorządu terytorialnego</t>
  </si>
  <si>
    <t>85153</t>
  </si>
  <si>
    <t>Zwalczanie narkomanii</t>
  </si>
  <si>
    <t>4330</t>
  </si>
  <si>
    <t>Zakup usług przez jednostki samorządu terytorialnego</t>
  </si>
  <si>
    <t>przez innych jednostek samorządu terytorialnego</t>
  </si>
  <si>
    <t>90003</t>
  </si>
  <si>
    <t>Oczyszczanie miast i wsi</t>
  </si>
  <si>
    <t>90004</t>
  </si>
  <si>
    <t>Urzymanie zieleni w miastach i gminach</t>
  </si>
  <si>
    <t>90020</t>
  </si>
  <si>
    <t xml:space="preserve">Wpływy i wydatki związane z gromadzeniem </t>
  </si>
  <si>
    <t>środków z opłat produktowych</t>
  </si>
  <si>
    <t>92120</t>
  </si>
  <si>
    <t>Ochrona zabytków i opieka nad zabytkami</t>
  </si>
  <si>
    <t>2720</t>
  </si>
  <si>
    <t>dofinansowanie prac remontowych i konserwatorskich</t>
  </si>
  <si>
    <t>757</t>
  </si>
  <si>
    <t>Obsługa długu publicznego</t>
  </si>
  <si>
    <t>75702</t>
  </si>
  <si>
    <t>i pożyczek jednostek samorządu terytorialnego</t>
  </si>
  <si>
    <t>Obsługa papierów wartościowych, kredytów</t>
  </si>
  <si>
    <t>6058</t>
  </si>
  <si>
    <t>6059</t>
  </si>
  <si>
    <t>60014</t>
  </si>
  <si>
    <t>Drogi publiczne powiatowe</t>
  </si>
  <si>
    <t>między jednostkami samorządu terytorialnego</t>
  </si>
  <si>
    <t>niezaliczanym do sektora finansów publicznych</t>
  </si>
  <si>
    <t>01010</t>
  </si>
  <si>
    <t>Infrastruktura wodociągowa i sanitacyjna wsi</t>
  </si>
  <si>
    <t>Dotacja</t>
  </si>
  <si>
    <t>4360</t>
  </si>
  <si>
    <t>Opłaty z tytułu zakupu usług telekomunikacyjnych</t>
  </si>
  <si>
    <t>telefonii komórkowej</t>
  </si>
  <si>
    <t>4370</t>
  </si>
  <si>
    <t>telefonii stacjonarnej</t>
  </si>
  <si>
    <t>4740</t>
  </si>
  <si>
    <t>drukarskiego i urządzeń kserograficznych</t>
  </si>
  <si>
    <t>Zakup materiałów papierniczych do sprzętu</t>
  </si>
  <si>
    <t>4750</t>
  </si>
  <si>
    <t>Zakup akcesoriów komputerowych, w tym programów</t>
  </si>
  <si>
    <t>i licencji</t>
  </si>
  <si>
    <t>Wydatki na zakupy inwestycyjne jednostek budżetowych</t>
  </si>
  <si>
    <t>4700</t>
  </si>
  <si>
    <t xml:space="preserve">Szkolenia pracowników niebędących członkami </t>
  </si>
  <si>
    <t>korpusu służby cywilnej</t>
  </si>
  <si>
    <t>4580</t>
  </si>
  <si>
    <t>Pozostałe odsetki</t>
  </si>
  <si>
    <t>Szkolenia pracowników niebędących członkami</t>
  </si>
  <si>
    <t>90013</t>
  </si>
  <si>
    <t>Schroniska dla zwierząt</t>
  </si>
  <si>
    <t>3020</t>
  </si>
  <si>
    <t>Wydatki osobowe nie zaliczane do wynagrodzeń</t>
  </si>
  <si>
    <t xml:space="preserve">Dotacja celowa na pomoc finansową udzielaną </t>
  </si>
  <si>
    <t>2910</t>
  </si>
  <si>
    <t>Zwrot dotacji wykorzystanych niezgodnie z przeznacz.</t>
  </si>
  <si>
    <t>lub pobranych w nadmiernej wysokości</t>
  </si>
  <si>
    <t>4560</t>
  </si>
  <si>
    <t>Odsetki od dotacji wykorzystanych niezgodnie z przezn.</t>
  </si>
  <si>
    <t>2710</t>
  </si>
  <si>
    <t>4390</t>
  </si>
  <si>
    <t>Zakup usług obejmujących wykonanie ekspertyz,</t>
  </si>
  <si>
    <t>analiz i ipinii</t>
  </si>
  <si>
    <t>4510</t>
  </si>
  <si>
    <t>Opłaty na rzecz budżetu państwa</t>
  </si>
  <si>
    <t>4240</t>
  </si>
  <si>
    <t>80110</t>
  </si>
  <si>
    <t>Gimnazja</t>
  </si>
  <si>
    <t>inwestycyjne-plan</t>
  </si>
  <si>
    <t>inwestycyjne-wykonanie</t>
  </si>
  <si>
    <t>ze śr.własnych-plan</t>
  </si>
  <si>
    <t>ze śr.własnych-wykonanie</t>
  </si>
  <si>
    <t>01008</t>
  </si>
  <si>
    <t>Melioracje wodne</t>
  </si>
  <si>
    <t>4570</t>
  </si>
  <si>
    <t>Odsetki od nieterminowych wpłat z tytułu pozostałych</t>
  </si>
  <si>
    <t>podatków i opłat</t>
  </si>
  <si>
    <t>analiz i opinii</t>
  </si>
  <si>
    <t>92601</t>
  </si>
  <si>
    <t>Obiekty sportowe</t>
  </si>
  <si>
    <t>Dotacja celowa na pomoc finansową udzielaną między</t>
  </si>
  <si>
    <t>jednostkami samorządu terytorialnego na dofinanow.</t>
  </si>
  <si>
    <t>własnych zadań bieżących</t>
  </si>
  <si>
    <t xml:space="preserve">Dotacje celowe z budżetu na finansowanie lub </t>
  </si>
  <si>
    <t>obiektów zabytkowych przekazane jednostkom</t>
  </si>
  <si>
    <t>2030</t>
  </si>
  <si>
    <t>8070</t>
  </si>
  <si>
    <t>Odsetki i dyskonto od krajowych skarbowych papierów</t>
  </si>
  <si>
    <t>wartościowych oraz od krajowych pożyczek i kredytów</t>
  </si>
  <si>
    <t>85200</t>
  </si>
  <si>
    <t>Środki własne</t>
  </si>
  <si>
    <t>2010</t>
  </si>
  <si>
    <t>własnych zadań inwestycyjnych i zakupów inwestycyjn.</t>
  </si>
  <si>
    <t>Wydatki na zakupy inwestycyjne jednostek budżetow.</t>
  </si>
  <si>
    <t>Pozostała działalność (PPWOW)</t>
  </si>
  <si>
    <t>4113</t>
  </si>
  <si>
    <t>4123</t>
  </si>
  <si>
    <t>4173</t>
  </si>
  <si>
    <t>4213</t>
  </si>
  <si>
    <t>4303</t>
  </si>
  <si>
    <t>WYDATKI NA DZIEŃ 31 sierpień  2008 r.</t>
  </si>
  <si>
    <t>4278</t>
  </si>
  <si>
    <t>4279</t>
  </si>
  <si>
    <t>na dofinansowanie własnych zadań bieżących</t>
  </si>
  <si>
    <t>75421</t>
  </si>
  <si>
    <t>Zarządzanie kryzysowe</t>
  </si>
  <si>
    <t>75478</t>
  </si>
  <si>
    <t>Odsetki od dotacji wykorzystanych niezgodnie</t>
  </si>
  <si>
    <t>z przeznaczniem lub pobranych w nadmiernej wysokości</t>
  </si>
  <si>
    <t>6310</t>
  </si>
  <si>
    <t>opieka nad zabytkami</t>
  </si>
  <si>
    <t>witacze drogowe od strony Naklika,Krzeszowa,Leżajska,Kolonii Polskiej (4szt)</t>
  </si>
  <si>
    <t>w tym: 30450 -podkar.system e-administracji publicznej</t>
  </si>
  <si>
    <t>Wydatki osobowe niezaliczone do wynagrodzeń</t>
  </si>
  <si>
    <t>Zakup pomocy naukowych,dydaktycznych i książek</t>
  </si>
  <si>
    <t>80103</t>
  </si>
  <si>
    <t>Odziały przedszkolne w szkołach podstawowych</t>
  </si>
  <si>
    <t>Wydtki inwestycyjne jednostek budżetowych</t>
  </si>
  <si>
    <t>80113</t>
  </si>
  <si>
    <t>Dowożenie uczniów do szkół</t>
  </si>
  <si>
    <t>80114</t>
  </si>
  <si>
    <t>Zespoły obsługi ekonomiczno-administr.szkół</t>
  </si>
  <si>
    <t>80145</t>
  </si>
  <si>
    <t>Komisje ezgaminacyjne</t>
  </si>
  <si>
    <t>80146</t>
  </si>
  <si>
    <t>Dokształcanie i doskonalenie nauczycieli</t>
  </si>
  <si>
    <t>uwagi</t>
  </si>
  <si>
    <t>modernizacja zbiornika na Ożannie</t>
  </si>
  <si>
    <t>3 szt.przystanków</t>
  </si>
  <si>
    <t>remont wc w urzędzie?</t>
  </si>
  <si>
    <t>czy dalej będzie 8000,00 na sfinansowanie wyjazdu na kolonie profilaktyczne, i 1500 dotacja dla LSR</t>
  </si>
  <si>
    <t>dotacja dla LSR</t>
  </si>
  <si>
    <t>co z oświetleniem ulicznym?</t>
  </si>
  <si>
    <t>termomodernizajca obiektów użyteczności publicznej (czy wiadomo że dokładnie 500 000,00)</t>
  </si>
  <si>
    <t>stadion Kuryłówka-Projekt</t>
  </si>
  <si>
    <t>zakup wozu asenizacyjnego i 1 szt.sprężarki</t>
  </si>
  <si>
    <t>umowa o dzieło na przeglądy mostów</t>
  </si>
  <si>
    <t>zakup znaków drogowych i mat.do sprząt.przystanków</t>
  </si>
  <si>
    <t>150 000-rezerwa na porozumienia, 10000 ożanna, 8000 jastrzębiec, 40000 rem.dróg polnych, 40000 rekulty.podług, 30000 rezerwa na remonty pozostałe</t>
  </si>
  <si>
    <t>opł.za udostępn.pasa drogowego dla powiatu</t>
  </si>
  <si>
    <t>program-zał.ewidencji dróg</t>
  </si>
  <si>
    <t xml:space="preserve">15000-zimowe, 19000-założ.ewidencji, 15 000 sprząt.przyst.,33000 rezerwa </t>
  </si>
  <si>
    <t>sala gimnastyczna Dąbrowica 370000,  przebudowa boiska sportowego przy gimnazjum w Kuryłówce 100000</t>
  </si>
  <si>
    <t>wynagrodzenia</t>
  </si>
  <si>
    <t>dotacje</t>
  </si>
  <si>
    <t>Plan w zł</t>
  </si>
  <si>
    <t>Różnica</t>
  </si>
  <si>
    <t>w złotych</t>
  </si>
  <si>
    <t>w %</t>
  </si>
  <si>
    <t>Plan wydatków na 2010 rok</t>
  </si>
  <si>
    <t>2010/2009</t>
  </si>
  <si>
    <t xml:space="preserve">w załączniku: "dochody i wydatki związane </t>
  </si>
  <si>
    <t>z realizacją zadań zleconych z zakresu</t>
  </si>
  <si>
    <t>administracji rządowej i innych zadań zleconych</t>
  </si>
  <si>
    <t>ustawami"</t>
  </si>
  <si>
    <t>w załączniku:"dochody i wydatki 2010"</t>
  </si>
  <si>
    <t>54780-rządowe,</t>
  </si>
  <si>
    <t>1342-rządowe,</t>
  </si>
  <si>
    <t>całość z własnych</t>
  </si>
  <si>
    <t>8322-rządowe,</t>
  </si>
  <si>
    <t>470-rządowe 2010,3240-rządowe 2030</t>
  </si>
  <si>
    <t>w załączniku"rządowe 2010"</t>
  </si>
  <si>
    <t>85216</t>
  </si>
  <si>
    <t>Zasiłki stałe</t>
  </si>
  <si>
    <t>720</t>
  </si>
  <si>
    <t>Informatyka</t>
  </si>
  <si>
    <t>72095</t>
  </si>
  <si>
    <t>upewnić się czy ta kwota i ten paragraf a nie 6069</t>
  </si>
  <si>
    <t>01009</t>
  </si>
  <si>
    <t>Spółki wodne</t>
  </si>
  <si>
    <t>2830</t>
  </si>
  <si>
    <t>Dotacje celowe z budżetu na finansowanie lub dofinansowanie zadań zleconych do realizacji pozostałym jednostkom niezalicznym do sektora finansów publicznych</t>
  </si>
  <si>
    <t>załącznik zgodnie z art..214 i 215 ufp 2009</t>
  </si>
  <si>
    <t>kanalizacja kuryłówka-WPI</t>
  </si>
  <si>
    <t>WDK K.Polska-147083, WDK Tarnawiec-700000 - WPI</t>
  </si>
  <si>
    <t>droga ożanna-WPI</t>
  </si>
  <si>
    <t>Wydatki na zakupy inwest.jednostek budżetowych</t>
  </si>
  <si>
    <t>przebudowa strażnicy jastrzębiec, wstawić dobre kwoty z WPI</t>
  </si>
  <si>
    <t>nadzór nad kanalizacją</t>
  </si>
  <si>
    <t>remont drogi słoboda-kolonia polska</t>
  </si>
  <si>
    <t>droga kulno-łazów , sprawdzić kwotę z rozliczenia od powiatu</t>
  </si>
  <si>
    <t>dotacja dla kościołów  (ile w 2010?)</t>
  </si>
  <si>
    <t xml:space="preserve">pompy ciepła w brzyskiej woli 785000 - WPI </t>
  </si>
  <si>
    <t>raczej przeżucić do 75023-6060 i tam zawiesić</t>
  </si>
  <si>
    <t>zakup pompy szlamowej</t>
  </si>
  <si>
    <t>różne remonty strażnic</t>
  </si>
  <si>
    <t>w tym: 32120 -podkar.system e-administracji publicznej</t>
  </si>
  <si>
    <t>5000-rezerwa na zarządzanie kryzysowe</t>
  </si>
  <si>
    <t>21000x1,39=29290x7%=31233,00  - ścieki</t>
  </si>
  <si>
    <t>135000x0,70=94500x7%=101115,00  - woda</t>
  </si>
  <si>
    <t>Kluby Sportowe - czy tak jak w 2009 roku?</t>
  </si>
  <si>
    <t>wydatki bieżące, w tym:</t>
  </si>
  <si>
    <t>wyd.zw.z real.statut.zadań</t>
  </si>
  <si>
    <t>wydatki bieżące ogółem</t>
  </si>
  <si>
    <t>wydatki majątkowe</t>
  </si>
  <si>
    <t>dotacje na zad.bieżące</t>
  </si>
  <si>
    <t>św.na rzecz os.fizycz.</t>
  </si>
  <si>
    <t>obsługa długu publiczn.</t>
  </si>
  <si>
    <t>Dotacja celowa na pomoc finansową udzielaną między jednostkami samorządu terytorialnego na dofinansowanie własnych zadań inwestycyjnych i zakupów inwestycyjnych</t>
  </si>
  <si>
    <t>Dotacja celowa na pomoc finansową udzielaną między jednostkami samorządu terytorialnego na dofinansowanie własnych zadań bieżących</t>
  </si>
  <si>
    <t>Planowane wydatki bieżące na 2010 rok</t>
  </si>
  <si>
    <t>Ogółem</t>
  </si>
  <si>
    <t>z tego:</t>
  </si>
  <si>
    <t>wydatki jednostek budżetowych</t>
  </si>
  <si>
    <t>Oświata i wychowanie</t>
  </si>
  <si>
    <t>110000x0,70=77000x7%=82 390,00  - woda</t>
  </si>
  <si>
    <t>18000x1,39=25020x7%=26 771,00  - ścieki</t>
  </si>
  <si>
    <t>1 szt.przystanków (Kulno)</t>
  </si>
  <si>
    <t>60000-rozbudowa ośw.Kuryłówka Górki, 3000-projekt ożanna k.kaszyckiego, 3000-projekt b.wola pastwiska</t>
  </si>
  <si>
    <t>bieżące</t>
  </si>
  <si>
    <t>majątkowe</t>
  </si>
  <si>
    <t>Planowane wydatki na 2010 rok</t>
  </si>
  <si>
    <t>4=5+8+9+10</t>
  </si>
  <si>
    <t>5=6+7</t>
  </si>
  <si>
    <t>4=5+6</t>
  </si>
  <si>
    <t>Razem wydatki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</si>
  <si>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</si>
  <si>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</si>
  <si>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</si>
  <si>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</si>
  <si>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</si>
  <si>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Obsługa papierów wartościowych, kredytów i pożyczek jednostek samorządu terytorialnego</t>
  </si>
  <si>
    <t>Rezerwy ogólne i celowe, w tym:</t>
  </si>
  <si>
    <t>Oddziały przedszkolne w szkołach podstawowych</t>
  </si>
  <si>
    <t>Zespoły obsługi ekonomiczno- administracyjnej szkół</t>
  </si>
  <si>
    <t>Usługi opiekuńcze i specjalistyczne usługi opiekuńcze</t>
  </si>
  <si>
    <t>Utrzymanie zieleni w miastach i gminach</t>
  </si>
  <si>
    <t>Wpływy i wydatki związane z gromadzeniem środków z opłat produktowych</t>
  </si>
  <si>
    <t>Domy i ośrodki kultury, świetlice i kluby</t>
  </si>
  <si>
    <t>Ośrodki pomocy społecznej</t>
  </si>
  <si>
    <t>Podsumowanie</t>
  </si>
  <si>
    <t>852- własne</t>
  </si>
  <si>
    <t>852-rządowe</t>
  </si>
  <si>
    <t>175600-rządowe 2030</t>
  </si>
  <si>
    <t>10000-własne okresowe</t>
  </si>
  <si>
    <t>45000-własne cel.i w naturze</t>
  </si>
  <si>
    <t>31600-rządowe 2030</t>
  </si>
  <si>
    <t>5000-własne</t>
  </si>
  <si>
    <t>120000-własne</t>
  </si>
  <si>
    <t>700-własne UG</t>
  </si>
  <si>
    <t>852-własne ug</t>
  </si>
  <si>
    <t>100-własne</t>
  </si>
  <si>
    <t>64500-dotacja 2030, 149600-własne</t>
  </si>
  <si>
    <t>2114658-rządowe 2010</t>
  </si>
  <si>
    <t>48500-rządowe 2010, 6000-własne</t>
  </si>
  <si>
    <t>4000-własne</t>
  </si>
  <si>
    <t>21000-rządowe 2010, 2000-własne</t>
  </si>
  <si>
    <t>1800-rządowe 2010, 500-własne</t>
  </si>
  <si>
    <t>1000-rządowe 2010, 2900-własne</t>
  </si>
  <si>
    <t>500-rządowe</t>
  </si>
  <si>
    <t>150-rządowe</t>
  </si>
  <si>
    <t>3000-własne</t>
  </si>
  <si>
    <t>50-rządowe</t>
  </si>
  <si>
    <t>500-własne</t>
  </si>
  <si>
    <t>2100-rządowe</t>
  </si>
  <si>
    <t>992-rządowe</t>
  </si>
  <si>
    <t>200-własne</t>
  </si>
  <si>
    <t>300-rządowe</t>
  </si>
  <si>
    <t>droga ożanna-WPI czy zmienić w WPI w 2009?</t>
  </si>
  <si>
    <t>termomodernizajca obiektów użyteczności publicznej?</t>
  </si>
  <si>
    <t>stadion Kuryłówka-roboty?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</si>
  <si>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</si>
  <si>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</si>
  <si>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</si>
  <si>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Składki na ubezpieczenie zdrowotne opłacane za osoby pobierające niektóre świadczenia z pomocy społecznej, niektóre świadczenia rodzinne oraz za osoby uczestniczące w centrum integracji społecznej</t>
  </si>
  <si>
    <t>100000-rezerwa na powodziowe, 250000-remont drogi 104604R(Ożanna), 250000-droga jastrzębiec 50000-remonty dróg polnych, 50000- rekultywacja dróg polnych, 50000-remonty mostów, 73000-pozostałe remonty</t>
  </si>
  <si>
    <t>sala gimnastyczna Dąbrowica 200000,  przebudowa boiska sportowego przy gimnazjum w Kuryłówce 100000</t>
  </si>
  <si>
    <t xml:space="preserve">wynagrodzenia i składki </t>
  </si>
  <si>
    <t>wydatki statutowe</t>
  </si>
  <si>
    <t>świadczenia na rzecz osób fizycznych</t>
  </si>
  <si>
    <t>obsługa długu publicznego</t>
  </si>
  <si>
    <t>L.p.</t>
  </si>
  <si>
    <t>Nazwa zadania inwestycyjnego</t>
  </si>
  <si>
    <t>Klasyfikacja budżetowa</t>
  </si>
  <si>
    <t>Rozdz.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</si>
  <si>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</si>
  <si>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</si>
  <si>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</si>
  <si>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</si>
  <si>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</si>
  <si>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</si>
  <si>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</si>
  <si>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</si>
  <si>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</si>
  <si>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</si>
  <si>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</si>
  <si>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</si>
  <si>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</si>
  <si>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</si>
  <si>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</si>
  <si>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</si>
  <si>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</si>
  <si>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Razem:</t>
  </si>
  <si>
    <t>Zakup przystanków autobusowych</t>
  </si>
  <si>
    <t>Urząd Gminy - Środki trwałe</t>
  </si>
  <si>
    <t>Zakup pompy szlamowej</t>
  </si>
  <si>
    <t>Szkoła podstawowa Kuryłówka - Środki trwałe</t>
  </si>
  <si>
    <t>Przebudowa boiska sportowego wielofunkcyjnego przy Gimnazjum w Kuryłówce</t>
  </si>
  <si>
    <t>Budowa sali gimnastycznej przy Zespole Szkół w Dąbrowicy wraz z zapleczem i urządzeniami technicznymi</t>
  </si>
  <si>
    <t>GOPS - środki trwałe</t>
  </si>
  <si>
    <t>Budowa oświetlenia ulicznego w Gminie Kuryłówka</t>
  </si>
  <si>
    <t>Termomodernizacja obiektów użyteczności publicznej w Gminie Kuryłówka</t>
  </si>
  <si>
    <t>Budowa Wiejskiego Domu Kulury w Tarnawcu</t>
  </si>
  <si>
    <t>Remont z rozbudową oraz nadbudową Wiejskiego Domu Kultury wraz z remontem urządzeń technicznych i zagospodarowaniem otoczenia obiektu</t>
  </si>
  <si>
    <t>Modernizacja stadionu w Kuryłówce</t>
  </si>
  <si>
    <t>Dochody</t>
  </si>
  <si>
    <t>Wydatki</t>
  </si>
  <si>
    <t>z tytułu zezwoleń na sprzedaż alkoholu</t>
  </si>
  <si>
    <t>Gminny Program profilaktyki i rozwiązywania problemów uzależnień-alkoholowych oraz narkomanii</t>
  </si>
  <si>
    <t>Wyszczególnienie</t>
  </si>
  <si>
    <t>Urzedy naczelnych organów władzy państwowej, kontroli i ochrony prawa</t>
  </si>
  <si>
    <t>Świadczenia rodzinne, świadczenie z funduszu alimentacyjnego oraz składki na ubezpieczenia emerytalne i rentowe z ubezpieczenia społecznego</t>
  </si>
  <si>
    <t>Nazwa Jednostki</t>
  </si>
  <si>
    <t>Kwota dotacji w zł</t>
  </si>
  <si>
    <t>podmiotowa</t>
  </si>
  <si>
    <t>przedmiotowa</t>
  </si>
  <si>
    <t>celowa</t>
  </si>
  <si>
    <t>Dotacje dla jednostek sektora finansów publicznych</t>
  </si>
  <si>
    <t>Dotacje dla jednostek spoza sektora finansów publicznych</t>
  </si>
  <si>
    <t>Podkarpacka Izba Rolnicza w Boguchwale</t>
  </si>
  <si>
    <t>Starostwo Powiatowe w Leżajsku</t>
  </si>
  <si>
    <t>Zakład Gospodarki Komunalnej w Kuryłówce</t>
  </si>
  <si>
    <t>Gminny Ośrodek Kultury w Kuryłówce</t>
  </si>
  <si>
    <t>Gminna Biblioteka Publiczna w Kuryłówce</t>
  </si>
  <si>
    <t>Nr zadania WPI</t>
  </si>
  <si>
    <t>Nazwa zadnia</t>
  </si>
  <si>
    <t>Jednostka organizacyjna odpowiedzialna za realizację zadania</t>
  </si>
  <si>
    <t>Lata realizacji zadania</t>
  </si>
  <si>
    <t>Łączne nakłady finansowe na zadanie</t>
  </si>
  <si>
    <t>Rok 2010</t>
  </si>
  <si>
    <t>Budowa kanalizacji sanitarnej w Gminie Kuryłówka: etap I - Dąbrowica, etap II - Kuryłówka</t>
  </si>
  <si>
    <t>Urząd Gminy Kuryłówka</t>
  </si>
  <si>
    <t>2005-2011</t>
  </si>
  <si>
    <t>w tym:</t>
  </si>
  <si>
    <t>środki własne:</t>
  </si>
  <si>
    <t>środki UE:</t>
  </si>
  <si>
    <t>- poprawa ochrony środowiska na terenach wiejskich</t>
  </si>
  <si>
    <t>Poprawa bezpieczeństwa i przeciwdziałanie zagrożeniom w Gminie Kuryłówka poprzez zakup samochodu ratowniczo - gaśniczego dla OSP w Kuryłówce oraz przebudowę i remont remizy OSP w Jastrzębcu</t>
  </si>
  <si>
    <t>- poprawa bezpieczeństwa i przeciwdziałanie zagrożeniom</t>
  </si>
  <si>
    <t>2008-2011</t>
  </si>
  <si>
    <t>Remont z rozbudową oraz nadbudową Wiejskiego Domu Kultury w Kolonii Polskiej wraz z remontem urządzeń technicznych i zagospodarowaniem otoczenia obiektu</t>
  </si>
  <si>
    <t>- poprawa dostępu społeczności lokalnej do podstawowej infrastruktury kulturalnej</t>
  </si>
  <si>
    <t>2007-2010</t>
  </si>
  <si>
    <t>Kanalizacja sanitarna z przykanalikami w miejscowości Brzyska Wola</t>
  </si>
  <si>
    <t>Budowa Wiejskiego Domu Kultury w Tarnawcu</t>
  </si>
  <si>
    <t>2006-2011</t>
  </si>
  <si>
    <t>Kompleksowa termomodernizacja Szkoły Podstawowej w Brzyskiej Woli z zamianą kotłowni węglowej na pompy ciepła</t>
  </si>
  <si>
    <t>- poprawa dostępu społeczności lokalnej do podstawowej infrastruktury oświatowej</t>
  </si>
  <si>
    <t>Przebudowa odcinka drogi powiatowej Nr 1074 R (Łazów) Granica Powiatu - Kulno od km 11+056 do km 14+061</t>
  </si>
  <si>
    <t xml:space="preserve">308373.50-kanalizacja kuryłówka,50000-kan.b.wola(dokum.), 200000-wodociągi  </t>
  </si>
  <si>
    <t>18.</t>
  </si>
  <si>
    <t>Przebudowa sieci wodociągowej na terenie Gminy Kuryłówka</t>
  </si>
  <si>
    <t>50000-różne remotny obiektów gminnych</t>
  </si>
  <si>
    <t>20000-rezerwa na motorówkę(pomoc dla powiatu)</t>
  </si>
  <si>
    <t>5000-opieka nad zabytkami,70000-rezerwa na kościoły</t>
  </si>
  <si>
    <t>17000-zimowe utrzymanie dróg, 7500-sprzątanie przystanków</t>
  </si>
  <si>
    <t>§</t>
  </si>
  <si>
    <t>Odpisy na zakładowy fundusz świadczeń socjalnych</t>
  </si>
  <si>
    <t>6630</t>
  </si>
  <si>
    <t>Szkolenia pracowników niebędących członkami korpusu służby cywilnej</t>
  </si>
  <si>
    <t>Opłaty z tytułu zakupu usług telekomunikacyjnych telefonii stacjonarnej</t>
  </si>
  <si>
    <t>Zakup materiałów papierniczych do sprzętu drukarskiego i urządzeń kserograficznych</t>
  </si>
  <si>
    <t>Składki na ubezpieczenia zdrowotne</t>
  </si>
  <si>
    <t>Urzędy wojewódzkie</t>
  </si>
  <si>
    <t>Dotacje celowe otrzymane z budżetu państwa na realizację zadań bieżących z zakresu administracji rządowej oraz innych zadań zleconych gminie (związkom gmin) ustawami</t>
  </si>
  <si>
    <t xml:space="preserve">Urzędy naczelnych organów władzy państwowej, kontroli i ochrony prawa  </t>
  </si>
  <si>
    <t>Zakup akcesoriów komputerowych, w tym programów i licencji</t>
  </si>
  <si>
    <t>Dotacja celowa dla spółki wodnej w ramach prac związanych z bieżącym utrzymaniem wód i urządzeń wodnych na terenie gminy Kuryłówka</t>
  </si>
  <si>
    <t>Województwo Podkarpackie</t>
  </si>
  <si>
    <t>Dotacja w ramach wspierania realizacji zadania z zakresu profilaktycznej działalności informacyjnej i edukacyjnej w zakresie rozwiązywania problemów uzależnień i wywoływanych nimi patologii, z zakresu bezpieczeństwa i przeciwdziałania patologiom społecznym, powierzenia organizacji wolnego czasu i aktywizacja społeczna dzieci i młodzieży</t>
  </si>
  <si>
    <t>Dotacja w ramach gminnego programu profilaktyki i rozwiązywania problemów uzależnień - alkoholowych oraz narkomanii na organizaję wypoczynku letniego dla dzieci z rodzin dotkniętych problemem alkoholizmu</t>
  </si>
  <si>
    <t>Dotacja na zadania w zakresie upowszechniania kultury fizycznej i sportu, wspierania zadania organizacji gminnych dni sportu, organizacji zawodów sportowych, organizacji imprez sportowo - rekreacyjnych</t>
  </si>
  <si>
    <t>19.</t>
  </si>
  <si>
    <t>Podkarpacki System e-Administracji Publicznej</t>
  </si>
  <si>
    <t>6800</t>
  </si>
  <si>
    <t>Rezerwy na inwestycje i zakupy inwestycyjne</t>
  </si>
  <si>
    <t>Wykonane wydatki bieżące na 2010 rok</t>
  </si>
  <si>
    <t>Wykonane wydatki na 2010 rok</t>
  </si>
  <si>
    <t>% wykonania ogółem</t>
  </si>
  <si>
    <t>7=8+9</t>
  </si>
  <si>
    <t>10=(7/4)*100%</t>
  </si>
  <si>
    <t>75107</t>
  </si>
  <si>
    <t>Wybory Prezydenta Rzeczypospolitej Polskiej</t>
  </si>
  <si>
    <t>75411</t>
  </si>
  <si>
    <t>Komendy powiatowe Państwowej Straży Pożarnej</t>
  </si>
  <si>
    <t>85111</t>
  </si>
  <si>
    <t>Szpitale ogólne</t>
  </si>
  <si>
    <t>85278</t>
  </si>
  <si>
    <t>90019</t>
  </si>
  <si>
    <t>630</t>
  </si>
  <si>
    <t>Turystyka</t>
  </si>
  <si>
    <t>63095</t>
  </si>
  <si>
    <t>11=12+15+16+17</t>
  </si>
  <si>
    <t>12=13+14</t>
  </si>
  <si>
    <t>18=(11/4)*100%</t>
  </si>
  <si>
    <t xml:space="preserve">Ochotnicze straże pożarne  </t>
  </si>
  <si>
    <t>Wpływy i wydatki związane z gromadzeniem środków z opłat i kar za korzystanie ze środowiska</t>
  </si>
  <si>
    <t xml:space="preserve">Wykonanie </t>
  </si>
  <si>
    <t>Plan na 2010 rok</t>
  </si>
  <si>
    <t>Planowana wysokość nakładów na zadanie</t>
  </si>
  <si>
    <t>Realizacja wydatków</t>
  </si>
  <si>
    <t>I półrocze 2010</t>
  </si>
  <si>
    <t>2009-2013</t>
  </si>
  <si>
    <t>Termomodernizacja reimzy Ochotniczej Straży Pożarnej w Dąbrowicy oraz Szkoły Podstawowej w Brzyskiej Woli ze zmianą źródła wytwarzania energii poprzez zamianę kotłowni węglowej na pompy ciepła</t>
  </si>
  <si>
    <t>Modernizacaj stadionu LKS ZŁOTSAN w Kuryłówce: budowa boisk, bieżni, trybuny</t>
  </si>
  <si>
    <t>- poprawa dostępu społeczności lokalnej do podstawowej infrastruktury sportowej i kulturalnej</t>
  </si>
  <si>
    <t>Realizacja wydatków bieżących budżetu Gminy Kuryłówka za I półrocze 2010 r.</t>
  </si>
  <si>
    <t>Załącznik nr 3 do Informacji z wykonania budżetu Gminy Kuryłówka za I półrocze 2010 r.</t>
  </si>
  <si>
    <t>Szkoły  podstawowe</t>
  </si>
  <si>
    <t>Zespoły obsługi ekonomiczno - administracyjnej szkół</t>
  </si>
  <si>
    <t>Świadczenia rodzinne, świadczenie z funduszu alimentacyjengo oraz skłądki na ubezpieczenia emerytalne i rentowe z ubezpieczenia społecznego</t>
  </si>
  <si>
    <t>Zasiłki i pomow w naturze oraz składki na ubezpieczenie społeczne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</si>
</sst>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0_ ;\-#,##0.00\ "/>
    <numFmt numFmtId="169" formatCode="#,##0.000_ ;\-#,##0.000\ "/>
    <numFmt numFmtId="170" formatCode="#,##0.0_ ;\-#,##0.0\ "/>
    <numFmt numFmtId="171" formatCode="#,##0_ ;\-#,##0\ "/>
  </numFmts>
  <fonts count="52"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sz val="8"/>
      <name val="Times New Roman"/>
      <family val="1"/>
    </font>
    <font>
      <b/>
      <sz val="10"/>
      <name val="Czcionka tekstu podstawowego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42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3" xfId="42" applyFont="1" applyBorder="1" applyAlignment="1">
      <alignment/>
    </xf>
    <xf numFmtId="0" fontId="2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13" xfId="42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3" fontId="2" fillId="0" borderId="15" xfId="42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1" fillId="0" borderId="10" xfId="42" applyFont="1" applyBorder="1" applyAlignment="1">
      <alignment/>
    </xf>
    <xf numFmtId="43" fontId="1" fillId="0" borderId="12" xfId="42" applyFont="1" applyBorder="1" applyAlignment="1">
      <alignment/>
    </xf>
    <xf numFmtId="43" fontId="2" fillId="0" borderId="12" xfId="42" applyFont="1" applyBorder="1" applyAlignment="1">
      <alignment/>
    </xf>
    <xf numFmtId="43" fontId="2" fillId="0" borderId="14" xfId="42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3" fontId="1" fillId="0" borderId="17" xfId="42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64" fontId="1" fillId="0" borderId="13" xfId="0" applyNumberFormat="1" applyFont="1" applyBorder="1" applyAlignment="1">
      <alignment horizontal="center"/>
    </xf>
    <xf numFmtId="43" fontId="2" fillId="0" borderId="13" xfId="42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3" fontId="1" fillId="0" borderId="16" xfId="42" applyFont="1" applyBorder="1" applyAlignment="1">
      <alignment/>
    </xf>
    <xf numFmtId="43" fontId="2" fillId="0" borderId="16" xfId="42" applyFont="1" applyBorder="1" applyAlignment="1">
      <alignment/>
    </xf>
    <xf numFmtId="43" fontId="2" fillId="0" borderId="18" xfId="42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43" fontId="8" fillId="0" borderId="13" xfId="42" applyFont="1" applyFill="1" applyBorder="1" applyAlignment="1">
      <alignment/>
    </xf>
    <xf numFmtId="43" fontId="8" fillId="0" borderId="15" xfId="42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3" fontId="7" fillId="0" borderId="13" xfId="42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9" fontId="1" fillId="0" borderId="1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3" fontId="8" fillId="0" borderId="13" xfId="42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 wrapText="1"/>
    </xf>
    <xf numFmtId="0" fontId="2" fillId="33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1" fillId="0" borderId="10" xfId="42" applyFont="1" applyFill="1" applyBorder="1" applyAlignment="1">
      <alignment/>
    </xf>
    <xf numFmtId="43" fontId="1" fillId="0" borderId="11" xfId="42" applyFont="1" applyFill="1" applyBorder="1" applyAlignment="1">
      <alignment horizontal="center"/>
    </xf>
    <xf numFmtId="43" fontId="2" fillId="0" borderId="12" xfId="42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3" fontId="1" fillId="0" borderId="13" xfId="42" applyFont="1" applyFill="1" applyBorder="1" applyAlignment="1">
      <alignment/>
    </xf>
    <xf numFmtId="43" fontId="1" fillId="0" borderId="12" xfId="42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3" fontId="2" fillId="0" borderId="15" xfId="42" applyFont="1" applyFill="1" applyBorder="1" applyAlignment="1">
      <alignment/>
    </xf>
    <xf numFmtId="43" fontId="2" fillId="0" borderId="14" xfId="42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3" fontId="2" fillId="0" borderId="13" xfId="42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43" fontId="1" fillId="0" borderId="17" xfId="42" applyFont="1" applyFill="1" applyBorder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43" fontId="7" fillId="33" borderId="13" xfId="42" applyFont="1" applyFill="1" applyBorder="1" applyAlignment="1">
      <alignment/>
    </xf>
    <xf numFmtId="43" fontId="7" fillId="33" borderId="12" xfId="42" applyFont="1" applyFill="1" applyBorder="1" applyAlignment="1">
      <alignment/>
    </xf>
    <xf numFmtId="43" fontId="1" fillId="33" borderId="11" xfId="42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left"/>
    </xf>
    <xf numFmtId="43" fontId="8" fillId="33" borderId="13" xfId="42" applyFont="1" applyFill="1" applyBorder="1" applyAlignment="1">
      <alignment/>
    </xf>
    <xf numFmtId="43" fontId="8" fillId="33" borderId="12" xfId="42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43" fontId="2" fillId="33" borderId="13" xfId="42" applyFont="1" applyFill="1" applyBorder="1" applyAlignment="1">
      <alignment/>
    </xf>
    <xf numFmtId="43" fontId="2" fillId="33" borderId="12" xfId="42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43" fontId="2" fillId="33" borderId="15" xfId="42" applyFont="1" applyFill="1" applyBorder="1" applyAlignment="1">
      <alignment/>
    </xf>
    <xf numFmtId="43" fontId="2" fillId="33" borderId="14" xfId="42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43" fontId="1" fillId="33" borderId="10" xfId="42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43" fontId="2" fillId="34" borderId="13" xfId="42" applyFont="1" applyFill="1" applyBorder="1" applyAlignment="1">
      <alignment/>
    </xf>
    <xf numFmtId="43" fontId="2" fillId="34" borderId="12" xfId="42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43" fontId="8" fillId="33" borderId="15" xfId="42" applyFont="1" applyFill="1" applyBorder="1" applyAlignment="1">
      <alignment/>
    </xf>
    <xf numFmtId="43" fontId="1" fillId="34" borderId="11" xfId="42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43" fontId="1" fillId="34" borderId="13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43" fontId="2" fillId="34" borderId="13" xfId="42" applyFont="1" applyFill="1" applyBorder="1" applyAlignment="1">
      <alignment/>
    </xf>
    <xf numFmtId="43" fontId="2" fillId="34" borderId="12" xfId="42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43" fontId="2" fillId="33" borderId="13" xfId="42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3" fontId="1" fillId="33" borderId="0" xfId="42" applyFont="1" applyFill="1" applyBorder="1" applyAlignment="1">
      <alignment/>
    </xf>
    <xf numFmtId="43" fontId="2" fillId="33" borderId="0" xfId="42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9" fontId="8" fillId="33" borderId="15" xfId="0" applyNumberFormat="1" applyFont="1" applyFill="1" applyBorder="1" applyAlignment="1">
      <alignment horizontal="center"/>
    </xf>
    <xf numFmtId="43" fontId="8" fillId="33" borderId="14" xfId="42" applyFont="1" applyFill="1" applyBorder="1" applyAlignment="1">
      <alignment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43" fontId="1" fillId="34" borderId="11" xfId="42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43" fontId="2" fillId="34" borderId="20" xfId="42" applyFont="1" applyFill="1" applyBorder="1" applyAlignment="1">
      <alignment/>
    </xf>
    <xf numFmtId="43" fontId="1" fillId="34" borderId="17" xfId="42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3" fontId="2" fillId="33" borderId="12" xfId="42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43" fontId="2" fillId="0" borderId="13" xfId="0" applyNumberFormat="1" applyFont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43" fontId="2" fillId="35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43" fontId="2" fillId="35" borderId="17" xfId="42" applyFont="1" applyFill="1" applyBorder="1" applyAlignment="1">
      <alignment/>
    </xf>
    <xf numFmtId="43" fontId="2" fillId="35" borderId="11" xfId="42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43" fontId="2" fillId="0" borderId="13" xfId="0" applyNumberFormat="1" applyFont="1" applyFill="1" applyBorder="1" applyAlignment="1">
      <alignment/>
    </xf>
    <xf numFmtId="43" fontId="1" fillId="34" borderId="10" xfId="42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20" xfId="42" applyFont="1" applyBorder="1" applyAlignment="1">
      <alignment/>
    </xf>
    <xf numFmtId="43" fontId="2" fillId="0" borderId="12" xfId="42" applyFont="1" applyFill="1" applyBorder="1" applyAlignment="1">
      <alignment/>
    </xf>
    <xf numFmtId="43" fontId="1" fillId="0" borderId="21" xfId="42" applyFont="1" applyFill="1" applyBorder="1" applyAlignment="1">
      <alignment/>
    </xf>
    <xf numFmtId="43" fontId="2" fillId="34" borderId="15" xfId="42" applyFont="1" applyFill="1" applyBorder="1" applyAlignment="1">
      <alignment/>
    </xf>
    <xf numFmtId="0" fontId="10" fillId="0" borderId="0" xfId="0" applyFont="1" applyAlignment="1">
      <alignment/>
    </xf>
    <xf numFmtId="43" fontId="9" fillId="0" borderId="17" xfId="42" applyFont="1" applyBorder="1" applyAlignment="1">
      <alignment/>
    </xf>
    <xf numFmtId="0" fontId="2" fillId="0" borderId="0" xfId="0" applyFont="1" applyFill="1" applyAlignment="1">
      <alignment wrapText="1"/>
    </xf>
    <xf numFmtId="0" fontId="9" fillId="0" borderId="10" xfId="42" applyNumberFormat="1" applyFont="1" applyBorder="1" applyAlignment="1">
      <alignment horizontal="center" vertical="center"/>
    </xf>
    <xf numFmtId="0" fontId="9" fillId="0" borderId="10" xfId="42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left" vertical="top" wrapText="1"/>
    </xf>
    <xf numFmtId="43" fontId="10" fillId="0" borderId="0" xfId="42" applyFont="1" applyAlignment="1">
      <alignment/>
    </xf>
    <xf numFmtId="49" fontId="10" fillId="0" borderId="17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0" fillId="0" borderId="12" xfId="0" applyNumberFormat="1" applyFont="1" applyBorder="1" applyAlignment="1">
      <alignment wrapText="1"/>
    </xf>
    <xf numFmtId="0" fontId="10" fillId="0" borderId="17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3" fontId="2" fillId="0" borderId="11" xfId="42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3" fontId="2" fillId="0" borderId="0" xfId="0" applyNumberFormat="1" applyFont="1" applyFill="1" applyAlignment="1">
      <alignment wrapText="1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3" fontId="2" fillId="0" borderId="20" xfId="42" applyFont="1" applyFill="1" applyBorder="1" applyAlignment="1">
      <alignment/>
    </xf>
    <xf numFmtId="43" fontId="1" fillId="0" borderId="17" xfId="42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43" fontId="7" fillId="0" borderId="12" xfId="42" applyFont="1" applyFill="1" applyBorder="1" applyAlignment="1">
      <alignment/>
    </xf>
    <xf numFmtId="43" fontId="8" fillId="0" borderId="14" xfId="42" applyFont="1" applyFill="1" applyBorder="1" applyAlignment="1">
      <alignment/>
    </xf>
    <xf numFmtId="43" fontId="8" fillId="0" borderId="12" xfId="42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3" fontId="1" fillId="0" borderId="16" xfId="42" applyFont="1" applyFill="1" applyBorder="1" applyAlignment="1">
      <alignment/>
    </xf>
    <xf numFmtId="43" fontId="2" fillId="0" borderId="16" xfId="42" applyFont="1" applyFill="1" applyBorder="1" applyAlignment="1">
      <alignment/>
    </xf>
    <xf numFmtId="43" fontId="2" fillId="0" borderId="18" xfId="42" applyFont="1" applyFill="1" applyBorder="1" applyAlignment="1">
      <alignment/>
    </xf>
    <xf numFmtId="43" fontId="2" fillId="0" borderId="17" xfId="42" applyFont="1" applyFill="1" applyBorder="1" applyAlignment="1">
      <alignment/>
    </xf>
    <xf numFmtId="168" fontId="10" fillId="0" borderId="12" xfId="42" applyNumberFormat="1" applyFont="1" applyBorder="1" applyAlignment="1">
      <alignment horizontal="right" vertical="top"/>
    </xf>
    <xf numFmtId="168" fontId="10" fillId="0" borderId="14" xfId="42" applyNumberFormat="1" applyFont="1" applyBorder="1" applyAlignment="1">
      <alignment horizontal="right" vertical="top"/>
    </xf>
    <xf numFmtId="168" fontId="10" fillId="0" borderId="15" xfId="42" applyNumberFormat="1" applyFont="1" applyBorder="1" applyAlignment="1">
      <alignment horizontal="right" vertical="top"/>
    </xf>
    <xf numFmtId="168" fontId="9" fillId="0" borderId="17" xfId="42" applyNumberFormat="1" applyFont="1" applyBorder="1" applyAlignment="1">
      <alignment/>
    </xf>
    <xf numFmtId="168" fontId="11" fillId="0" borderId="12" xfId="42" applyNumberFormat="1" applyFont="1" applyBorder="1" applyAlignment="1">
      <alignment horizontal="right" vertical="top"/>
    </xf>
    <xf numFmtId="168" fontId="11" fillId="0" borderId="13" xfId="42" applyNumberFormat="1" applyFont="1" applyBorder="1" applyAlignment="1">
      <alignment horizontal="right" vertical="top"/>
    </xf>
    <xf numFmtId="168" fontId="9" fillId="0" borderId="17" xfId="0" applyNumberFormat="1" applyFont="1" applyBorder="1" applyAlignment="1">
      <alignment horizontal="right" vertical="top"/>
    </xf>
    <xf numFmtId="168" fontId="10" fillId="0" borderId="17" xfId="42" applyNumberFormat="1" applyFont="1" applyBorder="1" applyAlignment="1">
      <alignment horizontal="right" vertical="top"/>
    </xf>
    <xf numFmtId="2" fontId="10" fillId="0" borderId="17" xfId="0" applyNumberFormat="1" applyFont="1" applyBorder="1" applyAlignment="1">
      <alignment/>
    </xf>
    <xf numFmtId="168" fontId="10" fillId="0" borderId="13" xfId="42" applyNumberFormat="1" applyFont="1" applyBorder="1" applyAlignment="1">
      <alignment horizontal="right" vertical="top" wrapText="1"/>
    </xf>
    <xf numFmtId="168" fontId="9" fillId="0" borderId="15" xfId="42" applyNumberFormat="1" applyFont="1" applyBorder="1" applyAlignment="1">
      <alignment horizontal="right" vertical="top"/>
    </xf>
    <xf numFmtId="168" fontId="9" fillId="0" borderId="17" xfId="42" applyNumberFormat="1" applyFont="1" applyBorder="1" applyAlignment="1">
      <alignment horizontal="right" vertical="top"/>
    </xf>
    <xf numFmtId="168" fontId="10" fillId="0" borderId="10" xfId="42" applyNumberFormat="1" applyFont="1" applyBorder="1" applyAlignment="1">
      <alignment horizontal="right" vertical="top"/>
    </xf>
    <xf numFmtId="168" fontId="10" fillId="0" borderId="11" xfId="42" applyNumberFormat="1" applyFont="1" applyBorder="1" applyAlignment="1">
      <alignment horizontal="right" vertical="top"/>
    </xf>
    <xf numFmtId="2" fontId="10" fillId="0" borderId="12" xfId="0" applyNumberFormat="1" applyFont="1" applyBorder="1" applyAlignment="1">
      <alignment/>
    </xf>
    <xf numFmtId="168" fontId="10" fillId="0" borderId="12" xfId="42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8" fontId="10" fillId="0" borderId="14" xfId="42" applyNumberFormat="1" applyFont="1" applyBorder="1" applyAlignment="1">
      <alignment/>
    </xf>
    <xf numFmtId="2" fontId="10" fillId="0" borderId="10" xfId="0" applyNumberFormat="1" applyFont="1" applyBorder="1" applyAlignment="1">
      <alignment horizontal="center" vertical="top"/>
    </xf>
    <xf numFmtId="171" fontId="10" fillId="0" borderId="17" xfId="42" applyNumberFormat="1" applyFont="1" applyBorder="1" applyAlignment="1">
      <alignment/>
    </xf>
    <xf numFmtId="49" fontId="9" fillId="36" borderId="17" xfId="0" applyNumberFormat="1" applyFont="1" applyFill="1" applyBorder="1" applyAlignment="1">
      <alignment horizontal="center" vertical="top"/>
    </xf>
    <xf numFmtId="49" fontId="9" fillId="36" borderId="21" xfId="0" applyNumberFormat="1" applyFont="1" applyFill="1" applyBorder="1" applyAlignment="1">
      <alignment horizontal="center" vertical="top"/>
    </xf>
    <xf numFmtId="0" fontId="9" fillId="36" borderId="21" xfId="0" applyFont="1" applyFill="1" applyBorder="1" applyAlignment="1">
      <alignment horizontal="left" vertical="top" wrapText="1"/>
    </xf>
    <xf numFmtId="168" fontId="9" fillId="36" borderId="21" xfId="42" applyNumberFormat="1" applyFont="1" applyFill="1" applyBorder="1" applyAlignment="1">
      <alignment horizontal="right" vertical="top"/>
    </xf>
    <xf numFmtId="168" fontId="9" fillId="36" borderId="17" xfId="42" applyNumberFormat="1" applyFont="1" applyFill="1" applyBorder="1" applyAlignment="1">
      <alignment horizontal="right" vertical="top"/>
    </xf>
    <xf numFmtId="0" fontId="9" fillId="0" borderId="11" xfId="42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 wrapText="1"/>
    </xf>
    <xf numFmtId="168" fontId="11" fillId="0" borderId="21" xfId="42" applyNumberFormat="1" applyFont="1" applyBorder="1" applyAlignment="1">
      <alignment horizontal="right" vertical="top"/>
    </xf>
    <xf numFmtId="168" fontId="11" fillId="0" borderId="17" xfId="42" applyNumberFormat="1" applyFont="1" applyBorder="1" applyAlignment="1">
      <alignment horizontal="right" vertical="top"/>
    </xf>
    <xf numFmtId="0" fontId="11" fillId="0" borderId="12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49" fontId="9" fillId="37" borderId="17" xfId="0" applyNumberFormat="1" applyFont="1" applyFill="1" applyBorder="1" applyAlignment="1">
      <alignment horizontal="center" vertical="top"/>
    </xf>
    <xf numFmtId="49" fontId="9" fillId="37" borderId="21" xfId="0" applyNumberFormat="1" applyFont="1" applyFill="1" applyBorder="1" applyAlignment="1">
      <alignment horizontal="center" vertical="top"/>
    </xf>
    <xf numFmtId="0" fontId="9" fillId="37" borderId="21" xfId="0" applyFont="1" applyFill="1" applyBorder="1" applyAlignment="1">
      <alignment horizontal="left" vertical="top" wrapText="1"/>
    </xf>
    <xf numFmtId="168" fontId="9" fillId="37" borderId="21" xfId="42" applyNumberFormat="1" applyFont="1" applyFill="1" applyBorder="1" applyAlignment="1">
      <alignment horizontal="right" vertical="top"/>
    </xf>
    <xf numFmtId="168" fontId="9" fillId="37" borderId="17" xfId="42" applyNumberFormat="1" applyFont="1" applyFill="1" applyBorder="1" applyAlignment="1">
      <alignment horizontal="right" vertical="top"/>
    </xf>
    <xf numFmtId="168" fontId="10" fillId="0" borderId="17" xfId="42" applyNumberFormat="1" applyFont="1" applyBorder="1" applyAlignment="1">
      <alignment vertical="top"/>
    </xf>
    <xf numFmtId="49" fontId="9" fillId="36" borderId="21" xfId="0" applyNumberFormat="1" applyFont="1" applyFill="1" applyBorder="1" applyAlignment="1">
      <alignment horizontal="left" vertical="top" wrapText="1"/>
    </xf>
    <xf numFmtId="49" fontId="11" fillId="0" borderId="21" xfId="0" applyNumberFormat="1" applyFont="1" applyBorder="1" applyAlignment="1">
      <alignment horizontal="left" vertical="top" wrapText="1"/>
    </xf>
    <xf numFmtId="49" fontId="9" fillId="37" borderId="21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171" fontId="10" fillId="0" borderId="23" xfId="42" applyNumberFormat="1" applyFont="1" applyBorder="1" applyAlignment="1">
      <alignment/>
    </xf>
    <xf numFmtId="0" fontId="10" fillId="0" borderId="22" xfId="0" applyFont="1" applyBorder="1" applyAlignment="1">
      <alignment/>
    </xf>
    <xf numFmtId="2" fontId="10" fillId="0" borderId="23" xfId="0" applyNumberFormat="1" applyFont="1" applyBorder="1" applyAlignment="1">
      <alignment/>
    </xf>
    <xf numFmtId="168" fontId="9" fillId="0" borderId="24" xfId="42" applyNumberFormat="1" applyFont="1" applyBorder="1" applyAlignment="1">
      <alignment/>
    </xf>
    <xf numFmtId="168" fontId="10" fillId="0" borderId="23" xfId="42" applyNumberFormat="1" applyFont="1" applyBorder="1" applyAlignment="1">
      <alignment vertical="top"/>
    </xf>
    <xf numFmtId="0" fontId="15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left" vertical="top" wrapText="1"/>
    </xf>
    <xf numFmtId="168" fontId="9" fillId="0" borderId="17" xfId="42" applyNumberFormat="1" applyFont="1" applyFill="1" applyBorder="1" applyAlignment="1">
      <alignment horizontal="right" vertical="top"/>
    </xf>
    <xf numFmtId="0" fontId="10" fillId="0" borderId="21" xfId="0" applyFont="1" applyBorder="1" applyAlignment="1">
      <alignment horizontal="center" vertical="top" wrapText="1"/>
    </xf>
    <xf numFmtId="168" fontId="10" fillId="0" borderId="17" xfId="42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168" fontId="11" fillId="0" borderId="17" xfId="42" applyNumberFormat="1" applyFont="1" applyFill="1" applyBorder="1" applyAlignment="1">
      <alignment horizontal="right" vertical="top"/>
    </xf>
    <xf numFmtId="0" fontId="16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/>
    </xf>
    <xf numFmtId="168" fontId="9" fillId="0" borderId="17" xfId="42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center" vertical="top"/>
    </xf>
    <xf numFmtId="168" fontId="11" fillId="0" borderId="17" xfId="42" applyNumberFormat="1" applyFont="1" applyBorder="1" applyAlignment="1">
      <alignment horizontal="right" vertical="top" wrapText="1"/>
    </xf>
    <xf numFmtId="168" fontId="10" fillId="0" borderId="17" xfId="42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/>
    </xf>
    <xf numFmtId="0" fontId="9" fillId="0" borderId="25" xfId="42" applyNumberFormat="1" applyFont="1" applyBorder="1" applyAlignment="1">
      <alignment horizontal="center" vertical="center"/>
    </xf>
    <xf numFmtId="0" fontId="9" fillId="0" borderId="23" xfId="42" applyNumberFormat="1" applyFont="1" applyBorder="1" applyAlignment="1">
      <alignment horizontal="center"/>
    </xf>
    <xf numFmtId="49" fontId="9" fillId="36" borderId="22" xfId="0" applyNumberFormat="1" applyFont="1" applyFill="1" applyBorder="1" applyAlignment="1">
      <alignment horizontal="center" vertical="top"/>
    </xf>
    <xf numFmtId="168" fontId="9" fillId="36" borderId="23" xfId="42" applyNumberFormat="1" applyFont="1" applyFill="1" applyBorder="1" applyAlignment="1">
      <alignment horizontal="right" vertical="top"/>
    </xf>
    <xf numFmtId="168" fontId="11" fillId="0" borderId="23" xfId="42" applyNumberFormat="1" applyFont="1" applyBorder="1" applyAlignment="1">
      <alignment horizontal="right" vertical="top"/>
    </xf>
    <xf numFmtId="49" fontId="9" fillId="37" borderId="22" xfId="0" applyNumberFormat="1" applyFont="1" applyFill="1" applyBorder="1" applyAlignment="1">
      <alignment horizontal="center" vertical="top"/>
    </xf>
    <xf numFmtId="168" fontId="9" fillId="37" borderId="23" xfId="42" applyNumberFormat="1" applyFont="1" applyFill="1" applyBorder="1" applyAlignment="1">
      <alignment horizontal="right" vertical="top"/>
    </xf>
    <xf numFmtId="49" fontId="10" fillId="0" borderId="26" xfId="0" applyNumberFormat="1" applyFont="1" applyBorder="1" applyAlignment="1">
      <alignment horizontal="center" vertical="top"/>
    </xf>
    <xf numFmtId="0" fontId="9" fillId="0" borderId="27" xfId="42" applyNumberFormat="1" applyFont="1" applyBorder="1" applyAlignment="1">
      <alignment horizontal="center"/>
    </xf>
    <xf numFmtId="168" fontId="9" fillId="36" borderId="28" xfId="42" applyNumberFormat="1" applyFont="1" applyFill="1" applyBorder="1" applyAlignment="1">
      <alignment horizontal="right" vertical="top"/>
    </xf>
    <xf numFmtId="168" fontId="11" fillId="0" borderId="28" xfId="42" applyNumberFormat="1" applyFont="1" applyBorder="1" applyAlignment="1">
      <alignment horizontal="right" vertical="top"/>
    </xf>
    <xf numFmtId="168" fontId="9" fillId="37" borderId="28" xfId="42" applyNumberFormat="1" applyFont="1" applyFill="1" applyBorder="1" applyAlignment="1">
      <alignment horizontal="right" vertical="top"/>
    </xf>
    <xf numFmtId="168" fontId="9" fillId="0" borderId="29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center" vertical="top"/>
    </xf>
    <xf numFmtId="0" fontId="9" fillId="38" borderId="21" xfId="0" applyFont="1" applyFill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center" vertical="top"/>
    </xf>
    <xf numFmtId="0" fontId="9" fillId="0" borderId="21" xfId="42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168" fontId="9" fillId="0" borderId="23" xfId="42" applyNumberFormat="1" applyFont="1" applyBorder="1" applyAlignment="1">
      <alignment horizontal="right" vertical="top"/>
    </xf>
    <xf numFmtId="168" fontId="10" fillId="0" borderId="13" xfId="42" applyNumberFormat="1" applyFont="1" applyBorder="1" applyAlignment="1">
      <alignment horizontal="right" vertical="top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wrapText="1"/>
    </xf>
    <xf numFmtId="49" fontId="10" fillId="0" borderId="25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9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49" fontId="10" fillId="0" borderId="38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46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49" fontId="10" fillId="0" borderId="21" xfId="0" applyNumberFormat="1" applyFont="1" applyBorder="1" applyAlignment="1">
      <alignment horizontal="left" vertical="top" wrapText="1"/>
    </xf>
    <xf numFmtId="49" fontId="10" fillId="0" borderId="31" xfId="0" applyNumberFormat="1" applyFont="1" applyBorder="1" applyAlignment="1">
      <alignment horizontal="left" vertical="top" wrapText="1"/>
    </xf>
    <xf numFmtId="49" fontId="9" fillId="0" borderId="21" xfId="0" applyNumberFormat="1" applyFont="1" applyBorder="1" applyAlignment="1">
      <alignment horizontal="left" vertical="top" wrapText="1"/>
    </xf>
    <xf numFmtId="49" fontId="9" fillId="0" borderId="30" xfId="0" applyNumberFormat="1" applyFont="1" applyBorder="1" applyAlignment="1">
      <alignment horizontal="left" vertical="top" wrapText="1"/>
    </xf>
    <xf numFmtId="49" fontId="11" fillId="0" borderId="21" xfId="0" applyNumberFormat="1" applyFont="1" applyBorder="1" applyAlignment="1">
      <alignment horizontal="left" vertical="top" wrapText="1"/>
    </xf>
    <xf numFmtId="49" fontId="11" fillId="0" borderId="3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49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9" fillId="0" borderId="2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right" vertical="top"/>
    </xf>
    <xf numFmtId="0" fontId="9" fillId="0" borderId="30" xfId="0" applyFont="1" applyBorder="1" applyAlignment="1">
      <alignment horizontal="right" vertical="top"/>
    </xf>
    <xf numFmtId="0" fontId="9" fillId="0" borderId="31" xfId="0" applyFont="1" applyBorder="1" applyAlignment="1">
      <alignment horizontal="right" vertical="top"/>
    </xf>
    <xf numFmtId="0" fontId="15" fillId="0" borderId="11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top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21" sqref="B221"/>
    </sheetView>
  </sheetViews>
  <sheetFormatPr defaultColWidth="9.00390625" defaultRowHeight="12.75"/>
  <cols>
    <col min="1" max="1" width="12.875" style="1" customWidth="1"/>
    <col min="2" max="2" width="66.375" style="1" customWidth="1"/>
    <col min="3" max="3" width="23.125" style="1" customWidth="1"/>
    <col min="4" max="4" width="24.00390625" style="1" customWidth="1"/>
    <col min="5" max="5" width="12.25390625" style="1" customWidth="1"/>
    <col min="6" max="6" width="9.125" style="1" customWidth="1"/>
    <col min="7" max="7" width="31.00390625" style="1" customWidth="1"/>
    <col min="8" max="8" width="31.375" style="1" customWidth="1"/>
    <col min="9" max="9" width="29.125" style="1" customWidth="1"/>
    <col min="10" max="10" width="35.875" style="1" customWidth="1"/>
    <col min="11" max="16384" width="9.125" style="1" customWidth="1"/>
  </cols>
  <sheetData>
    <row r="1" spans="1:5" ht="18">
      <c r="A1" s="357" t="s">
        <v>280</v>
      </c>
      <c r="B1" s="357"/>
      <c r="C1" s="357"/>
      <c r="D1" s="357"/>
      <c r="E1" s="357"/>
    </row>
    <row r="3" spans="1:5" ht="18">
      <c r="A3" s="2" t="s">
        <v>0</v>
      </c>
      <c r="B3" s="3"/>
      <c r="C3" s="3"/>
      <c r="D3" s="3"/>
      <c r="E3" s="3"/>
    </row>
    <row r="4" spans="1:10" ht="18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G4" s="1" t="s">
        <v>248</v>
      </c>
      <c r="H4" s="1" t="s">
        <v>249</v>
      </c>
      <c r="I4" s="1" t="s">
        <v>250</v>
      </c>
      <c r="J4" s="1" t="s">
        <v>251</v>
      </c>
    </row>
    <row r="5" spans="1:5" ht="18">
      <c r="A5" s="4" t="s">
        <v>6</v>
      </c>
      <c r="B5" s="8"/>
      <c r="C5" s="8"/>
      <c r="D5" s="8"/>
      <c r="E5" s="8"/>
    </row>
    <row r="6" spans="1:5" ht="18">
      <c r="A6" s="9" t="s">
        <v>7</v>
      </c>
      <c r="B6" s="10" t="s">
        <v>8</v>
      </c>
      <c r="C6" s="11">
        <f>C15+C19+C11+C8</f>
        <v>3080799</v>
      </c>
      <c r="D6" s="11">
        <f>D15+D19+D11+D8</f>
        <v>2119317.34</v>
      </c>
      <c r="E6" s="51">
        <f>D6*100/C6</f>
        <v>68.79115904672781</v>
      </c>
    </row>
    <row r="7" spans="1:5" ht="18">
      <c r="A7" s="13"/>
      <c r="B7" s="8"/>
      <c r="C7" s="14"/>
      <c r="D7" s="14"/>
      <c r="E7" s="26"/>
    </row>
    <row r="8" spans="1:5" ht="18">
      <c r="A8" s="16" t="s">
        <v>252</v>
      </c>
      <c r="B8" s="17" t="s">
        <v>253</v>
      </c>
      <c r="C8" s="18">
        <f>SUM(C9:C9)</f>
        <v>120000</v>
      </c>
      <c r="D8" s="18">
        <f>SUM(D9:D9)</f>
        <v>0</v>
      </c>
      <c r="E8" s="52">
        <f>D8*100/C8</f>
        <v>0</v>
      </c>
    </row>
    <row r="9" spans="1:5" ht="18">
      <c r="A9" s="13" t="s">
        <v>16</v>
      </c>
      <c r="B9" s="8" t="s">
        <v>17</v>
      </c>
      <c r="C9" s="14">
        <f>200000-80000</f>
        <v>120000</v>
      </c>
      <c r="D9" s="14">
        <v>0</v>
      </c>
      <c r="E9" s="52"/>
    </row>
    <row r="10" spans="1:5" ht="18">
      <c r="A10" s="13"/>
      <c r="B10" s="8"/>
      <c r="C10" s="14"/>
      <c r="D10" s="14"/>
      <c r="E10" s="26"/>
    </row>
    <row r="11" spans="1:5" ht="18">
      <c r="A11" s="16" t="s">
        <v>208</v>
      </c>
      <c r="B11" s="17" t="s">
        <v>209</v>
      </c>
      <c r="C11" s="18">
        <f>SUM(C12:C14)</f>
        <v>2869000</v>
      </c>
      <c r="D11" s="18">
        <f>SUM(D12:D14)</f>
        <v>2031578.43</v>
      </c>
      <c r="E11" s="52">
        <f>D11*100/C11</f>
        <v>70.8113778319972</v>
      </c>
    </row>
    <row r="12" spans="1:5" ht="18">
      <c r="A12" s="59" t="s">
        <v>44</v>
      </c>
      <c r="B12" s="60" t="s">
        <v>45</v>
      </c>
      <c r="C12" s="41">
        <v>25000</v>
      </c>
      <c r="D12" s="41">
        <v>14640</v>
      </c>
      <c r="E12" s="52"/>
    </row>
    <row r="13" spans="1:8" ht="18">
      <c r="A13" s="13" t="s">
        <v>89</v>
      </c>
      <c r="B13" s="8" t="s">
        <v>98</v>
      </c>
      <c r="C13" s="14">
        <f>2869000-25000</f>
        <v>2844000</v>
      </c>
      <c r="D13" s="14">
        <v>2016938.43</v>
      </c>
      <c r="E13" s="52"/>
      <c r="G13" s="76">
        <f>C13</f>
        <v>2844000</v>
      </c>
      <c r="H13" s="76">
        <f>D13</f>
        <v>2016938.43</v>
      </c>
    </row>
    <row r="14" spans="1:5" ht="18">
      <c r="A14" s="13"/>
      <c r="B14" s="8"/>
      <c r="C14" s="14"/>
      <c r="D14" s="14"/>
      <c r="E14" s="52"/>
    </row>
    <row r="15" spans="1:5" ht="18">
      <c r="A15" s="16" t="s">
        <v>9</v>
      </c>
      <c r="B15" s="17" t="s">
        <v>10</v>
      </c>
      <c r="C15" s="18">
        <f>SUM(C16)</f>
        <v>4000</v>
      </c>
      <c r="D15" s="18">
        <f>SUM(D16)</f>
        <v>2913.89</v>
      </c>
      <c r="E15" s="52">
        <f>D15*100/C15</f>
        <v>72.84725</v>
      </c>
    </row>
    <row r="16" spans="1:10" ht="18">
      <c r="A16" s="13" t="s">
        <v>11</v>
      </c>
      <c r="B16" s="8" t="s">
        <v>12</v>
      </c>
      <c r="C16" s="14">
        <v>4000</v>
      </c>
      <c r="D16" s="14">
        <v>2913.89</v>
      </c>
      <c r="E16" s="26"/>
      <c r="I16" s="76">
        <f>C16</f>
        <v>4000</v>
      </c>
      <c r="J16" s="76">
        <f>D16</f>
        <v>2913.89</v>
      </c>
    </row>
    <row r="17" spans="1:5" ht="18">
      <c r="A17" s="13"/>
      <c r="B17" s="8" t="s">
        <v>13</v>
      </c>
      <c r="C17" s="14"/>
      <c r="D17" s="14"/>
      <c r="E17" s="26"/>
    </row>
    <row r="18" spans="1:5" ht="18">
      <c r="A18" s="13"/>
      <c r="B18" s="8"/>
      <c r="C18" s="14"/>
      <c r="D18" s="14"/>
      <c r="E18" s="26"/>
    </row>
    <row r="19" spans="1:5" ht="18">
      <c r="A19" s="16" t="s">
        <v>14</v>
      </c>
      <c r="B19" s="17" t="s">
        <v>15</v>
      </c>
      <c r="C19" s="18">
        <f>SUM(C20:C24)</f>
        <v>87799</v>
      </c>
      <c r="D19" s="18">
        <f>SUM(D20:D24)</f>
        <v>84825.02</v>
      </c>
      <c r="E19" s="52">
        <f>D19*100/C19</f>
        <v>96.6127404640144</v>
      </c>
    </row>
    <row r="20" spans="1:5" ht="18">
      <c r="A20" s="59" t="s">
        <v>22</v>
      </c>
      <c r="B20" s="8" t="s">
        <v>23</v>
      </c>
      <c r="C20" s="41">
        <v>1380</v>
      </c>
      <c r="D20" s="41">
        <v>1380</v>
      </c>
      <c r="E20" s="79"/>
    </row>
    <row r="21" spans="1:5" ht="18">
      <c r="A21" s="59" t="s">
        <v>26</v>
      </c>
      <c r="B21" s="8" t="s">
        <v>27</v>
      </c>
      <c r="C21" s="41">
        <v>210</v>
      </c>
      <c r="D21" s="41">
        <v>209.69</v>
      </c>
      <c r="E21" s="79"/>
    </row>
    <row r="22" spans="1:5" ht="18">
      <c r="A22" s="59" t="s">
        <v>28</v>
      </c>
      <c r="B22" s="8" t="s">
        <v>29</v>
      </c>
      <c r="C22" s="41">
        <v>34</v>
      </c>
      <c r="D22" s="41">
        <v>33.8</v>
      </c>
      <c r="E22" s="79"/>
    </row>
    <row r="23" spans="1:5" ht="18">
      <c r="A23" s="13" t="s">
        <v>16</v>
      </c>
      <c r="B23" s="8" t="s">
        <v>17</v>
      </c>
      <c r="C23" s="14">
        <v>2000</v>
      </c>
      <c r="D23" s="14">
        <v>0</v>
      </c>
      <c r="E23" s="52"/>
    </row>
    <row r="24" spans="1:5" ht="18">
      <c r="A24" s="13" t="s">
        <v>53</v>
      </c>
      <c r="B24" s="8" t="s">
        <v>54</v>
      </c>
      <c r="C24" s="14">
        <f>3000+81175</f>
        <v>84175</v>
      </c>
      <c r="D24" s="14">
        <f>2027+81174.53</f>
        <v>83201.53</v>
      </c>
      <c r="E24" s="52"/>
    </row>
    <row r="25" spans="1:5" ht="18">
      <c r="A25" s="20"/>
      <c r="B25" s="7"/>
      <c r="C25" s="21"/>
      <c r="D25" s="21"/>
      <c r="E25" s="53"/>
    </row>
    <row r="26" spans="1:5" ht="18">
      <c r="A26" s="16" t="s">
        <v>18</v>
      </c>
      <c r="B26" s="17" t="s">
        <v>19</v>
      </c>
      <c r="C26" s="18">
        <f>C28</f>
        <v>168500</v>
      </c>
      <c r="D26" s="18">
        <f>D28</f>
        <v>117072.85</v>
      </c>
      <c r="E26" s="12">
        <f>D26*100/C26</f>
        <v>69.47943620178042</v>
      </c>
    </row>
    <row r="27" spans="1:5" ht="18">
      <c r="A27" s="13"/>
      <c r="B27" s="8"/>
      <c r="C27" s="14"/>
      <c r="D27" s="14"/>
      <c r="E27" s="15"/>
    </row>
    <row r="28" spans="1:5" ht="18">
      <c r="A28" s="16" t="s">
        <v>20</v>
      </c>
      <c r="B28" s="17" t="s">
        <v>21</v>
      </c>
      <c r="C28" s="18">
        <f>SUM(C29:C39)</f>
        <v>168500</v>
      </c>
      <c r="D28" s="18">
        <f>SUM(D29:D39)</f>
        <v>117072.85</v>
      </c>
      <c r="E28" s="19">
        <f>D28*100/C28</f>
        <v>69.47943620178042</v>
      </c>
    </row>
    <row r="29" spans="1:5" ht="18">
      <c r="A29" s="59" t="s">
        <v>231</v>
      </c>
      <c r="B29" s="60" t="s">
        <v>232</v>
      </c>
      <c r="C29" s="41">
        <v>2000</v>
      </c>
      <c r="D29" s="41">
        <v>210</v>
      </c>
      <c r="E29" s="19"/>
    </row>
    <row r="30" spans="1:5" ht="18">
      <c r="A30" s="13" t="s">
        <v>22</v>
      </c>
      <c r="B30" s="8" t="s">
        <v>23</v>
      </c>
      <c r="C30" s="14">
        <v>51575</v>
      </c>
      <c r="D30" s="14">
        <v>37328.09</v>
      </c>
      <c r="E30" s="15"/>
    </row>
    <row r="31" spans="1:5" ht="18">
      <c r="A31" s="13" t="s">
        <v>24</v>
      </c>
      <c r="B31" s="8" t="s">
        <v>25</v>
      </c>
      <c r="C31" s="14">
        <v>3375</v>
      </c>
      <c r="D31" s="14">
        <v>3374.19</v>
      </c>
      <c r="E31" s="15"/>
    </row>
    <row r="32" spans="1:5" ht="18">
      <c r="A32" s="13" t="s">
        <v>26</v>
      </c>
      <c r="B32" s="8" t="s">
        <v>27</v>
      </c>
      <c r="C32" s="14">
        <v>7800</v>
      </c>
      <c r="D32" s="14">
        <v>5998.48</v>
      </c>
      <c r="E32" s="15"/>
    </row>
    <row r="33" spans="1:5" ht="18">
      <c r="A33" s="13" t="s">
        <v>28</v>
      </c>
      <c r="B33" s="8" t="s">
        <v>29</v>
      </c>
      <c r="C33" s="14">
        <v>1250</v>
      </c>
      <c r="D33" s="14">
        <v>967.53</v>
      </c>
      <c r="E33" s="15"/>
    </row>
    <row r="34" spans="1:5" ht="18">
      <c r="A34" s="13" t="s">
        <v>30</v>
      </c>
      <c r="B34" s="8" t="s">
        <v>31</v>
      </c>
      <c r="C34" s="14">
        <v>2200</v>
      </c>
      <c r="D34" s="14">
        <v>1572.4</v>
      </c>
      <c r="E34" s="15"/>
    </row>
    <row r="35" spans="1:5" ht="18">
      <c r="A35" s="13" t="s">
        <v>32</v>
      </c>
      <c r="B35" s="8" t="s">
        <v>33</v>
      </c>
      <c r="C35" s="14">
        <v>1000</v>
      </c>
      <c r="D35" s="14">
        <v>0</v>
      </c>
      <c r="E35" s="15"/>
    </row>
    <row r="36" spans="1:5" ht="18">
      <c r="A36" s="13" t="s">
        <v>34</v>
      </c>
      <c r="B36" s="8" t="s">
        <v>35</v>
      </c>
      <c r="C36" s="14">
        <f>15000-723</f>
        <v>14277</v>
      </c>
      <c r="D36" s="14">
        <v>11117.14</v>
      </c>
      <c r="E36" s="15"/>
    </row>
    <row r="37" spans="1:5" ht="18">
      <c r="A37" s="13" t="s">
        <v>16</v>
      </c>
      <c r="B37" s="8" t="s">
        <v>17</v>
      </c>
      <c r="C37" s="14">
        <v>75000</v>
      </c>
      <c r="D37" s="14">
        <v>50625.67</v>
      </c>
      <c r="E37" s="15"/>
    </row>
    <row r="38" spans="1:5" ht="18">
      <c r="A38" s="13" t="s">
        <v>36</v>
      </c>
      <c r="B38" s="8" t="s">
        <v>37</v>
      </c>
      <c r="C38" s="14">
        <v>7000</v>
      </c>
      <c r="D38" s="14">
        <v>2857.32</v>
      </c>
      <c r="E38" s="15"/>
    </row>
    <row r="39" spans="1:5" ht="18">
      <c r="A39" s="20" t="s">
        <v>38</v>
      </c>
      <c r="B39" s="7" t="s">
        <v>39</v>
      </c>
      <c r="C39" s="21">
        <f>2300+723</f>
        <v>3023</v>
      </c>
      <c r="D39" s="21">
        <v>3022.03</v>
      </c>
      <c r="E39" s="22"/>
    </row>
    <row r="40" spans="1:5" ht="18">
      <c r="A40" s="9" t="s">
        <v>40</v>
      </c>
      <c r="B40" s="10" t="s">
        <v>41</v>
      </c>
      <c r="C40" s="11">
        <f>SUM(C50+C61+C42)</f>
        <v>981030</v>
      </c>
      <c r="D40" s="11">
        <f>SUM(D50+D61+D42)</f>
        <v>485952.26999999996</v>
      </c>
      <c r="E40" s="12">
        <f>D40*100/C40</f>
        <v>49.53490413137212</v>
      </c>
    </row>
    <row r="41" spans="1:5" ht="18">
      <c r="A41" s="13"/>
      <c r="B41" s="8"/>
      <c r="C41" s="14"/>
      <c r="D41" s="14"/>
      <c r="E41" s="15"/>
    </row>
    <row r="42" spans="1:5" ht="18">
      <c r="A42" s="16" t="s">
        <v>204</v>
      </c>
      <c r="B42" s="17" t="s">
        <v>205</v>
      </c>
      <c r="C42" s="18">
        <f>SUM(C43:C48)</f>
        <v>209030</v>
      </c>
      <c r="D42" s="18">
        <f>SUM(D43:D48)</f>
        <v>22624</v>
      </c>
      <c r="E42" s="19">
        <f>D42*100/C42</f>
        <v>10.823326795196861</v>
      </c>
    </row>
    <row r="43" spans="1:5" ht="18">
      <c r="A43" s="13" t="s">
        <v>239</v>
      </c>
      <c r="B43" s="8" t="s">
        <v>260</v>
      </c>
      <c r="C43" s="14">
        <f>100000+100000</f>
        <v>200000</v>
      </c>
      <c r="D43" s="14">
        <v>22624</v>
      </c>
      <c r="E43" s="15"/>
    </row>
    <row r="44" spans="1:5" ht="18">
      <c r="A44" s="13"/>
      <c r="B44" s="8" t="s">
        <v>261</v>
      </c>
      <c r="C44" s="14"/>
      <c r="D44" s="14"/>
      <c r="E44" s="15"/>
    </row>
    <row r="45" spans="1:5" ht="18">
      <c r="A45" s="13"/>
      <c r="B45" s="8" t="s">
        <v>262</v>
      </c>
      <c r="C45" s="14"/>
      <c r="D45" s="14"/>
      <c r="E45" s="15"/>
    </row>
    <row r="46" spans="1:5" ht="18">
      <c r="A46" s="13" t="s">
        <v>166</v>
      </c>
      <c r="B46" s="8" t="s">
        <v>260</v>
      </c>
      <c r="C46" s="14">
        <v>9030</v>
      </c>
      <c r="D46" s="14"/>
      <c r="E46" s="15"/>
    </row>
    <row r="47" spans="1:5" ht="18">
      <c r="A47" s="13"/>
      <c r="B47" s="8" t="s">
        <v>261</v>
      </c>
      <c r="C47" s="14"/>
      <c r="D47" s="14"/>
      <c r="E47" s="15"/>
    </row>
    <row r="48" spans="1:5" ht="18">
      <c r="A48" s="13"/>
      <c r="B48" s="8" t="s">
        <v>272</v>
      </c>
      <c r="C48" s="14"/>
      <c r="D48" s="14"/>
      <c r="E48" s="15"/>
    </row>
    <row r="49" spans="1:5" ht="18">
      <c r="A49" s="13"/>
      <c r="B49" s="8"/>
      <c r="C49" s="14"/>
      <c r="D49" s="14"/>
      <c r="E49" s="15"/>
    </row>
    <row r="50" spans="1:5" ht="18">
      <c r="A50" s="16" t="s">
        <v>42</v>
      </c>
      <c r="B50" s="17" t="s">
        <v>43</v>
      </c>
      <c r="C50" s="18">
        <f>SUM(C51:C59)</f>
        <v>542600</v>
      </c>
      <c r="D50" s="18">
        <f>SUM(D51:D59)</f>
        <v>236408.21999999997</v>
      </c>
      <c r="E50" s="19">
        <f>D50*100/C50</f>
        <v>43.56952082565425</v>
      </c>
    </row>
    <row r="51" spans="1:5" ht="18">
      <c r="A51" s="13" t="s">
        <v>32</v>
      </c>
      <c r="B51" s="8" t="s">
        <v>33</v>
      </c>
      <c r="C51" s="14">
        <f>6000+7000+5000</f>
        <v>18000</v>
      </c>
      <c r="D51" s="14">
        <v>15000</v>
      </c>
      <c r="E51" s="15"/>
    </row>
    <row r="52" spans="1:5" ht="18">
      <c r="A52" s="13" t="s">
        <v>34</v>
      </c>
      <c r="B52" s="8" t="s">
        <v>35</v>
      </c>
      <c r="C52" s="14">
        <v>5000</v>
      </c>
      <c r="D52" s="14">
        <v>3758.27</v>
      </c>
      <c r="E52" s="15"/>
    </row>
    <row r="53" spans="1:5" ht="18">
      <c r="A53" s="13" t="s">
        <v>44</v>
      </c>
      <c r="B53" s="8" t="s">
        <v>45</v>
      </c>
      <c r="C53" s="14">
        <f>474500+20000-125400-5000-120000</f>
        <v>244100</v>
      </c>
      <c r="D53" s="14">
        <v>196736.9</v>
      </c>
      <c r="E53" s="15"/>
    </row>
    <row r="54" spans="1:5" ht="18">
      <c r="A54" s="13" t="s">
        <v>281</v>
      </c>
      <c r="B54" s="8" t="s">
        <v>45</v>
      </c>
      <c r="C54" s="14">
        <v>100000</v>
      </c>
      <c r="D54" s="14"/>
      <c r="E54" s="15"/>
    </row>
    <row r="55" spans="1:5" ht="18">
      <c r="A55" s="13" t="s">
        <v>282</v>
      </c>
      <c r="B55" s="8" t="s">
        <v>45</v>
      </c>
      <c r="C55" s="14">
        <v>120000</v>
      </c>
      <c r="D55" s="14"/>
      <c r="E55" s="15"/>
    </row>
    <row r="56" spans="1:5" ht="18">
      <c r="A56" s="13" t="s">
        <v>16</v>
      </c>
      <c r="B56" s="8" t="s">
        <v>17</v>
      </c>
      <c r="C56" s="14">
        <f>34000+8000-7000</f>
        <v>35000</v>
      </c>
      <c r="D56" s="14">
        <v>6428.75</v>
      </c>
      <c r="E56" s="15"/>
    </row>
    <row r="57" spans="1:5" ht="18">
      <c r="A57" s="13" t="s">
        <v>53</v>
      </c>
      <c r="B57" s="8" t="s">
        <v>54</v>
      </c>
      <c r="C57" s="14">
        <v>500</v>
      </c>
      <c r="D57" s="14">
        <v>118.8</v>
      </c>
      <c r="E57" s="15"/>
    </row>
    <row r="58" spans="1:5" ht="18">
      <c r="A58" s="13" t="s">
        <v>89</v>
      </c>
      <c r="B58" s="8" t="s">
        <v>98</v>
      </c>
      <c r="C58" s="14">
        <f>500000-500000</f>
        <v>0</v>
      </c>
      <c r="D58" s="14">
        <v>0</v>
      </c>
      <c r="E58" s="15"/>
    </row>
    <row r="59" spans="1:5" ht="18">
      <c r="A59" s="13" t="s">
        <v>73</v>
      </c>
      <c r="B59" s="8" t="s">
        <v>222</v>
      </c>
      <c r="C59" s="14">
        <v>20000</v>
      </c>
      <c r="D59" s="14">
        <v>14365.5</v>
      </c>
      <c r="E59" s="15"/>
    </row>
    <row r="60" spans="1:5" ht="18">
      <c r="A60" s="13"/>
      <c r="B60" s="8"/>
      <c r="C60" s="14"/>
      <c r="D60" s="14"/>
      <c r="E60" s="15"/>
    </row>
    <row r="61" spans="1:5" ht="18">
      <c r="A61" s="16" t="s">
        <v>46</v>
      </c>
      <c r="B61" s="17" t="s">
        <v>47</v>
      </c>
      <c r="C61" s="18">
        <f>SUM(C62:C65)</f>
        <v>229400</v>
      </c>
      <c r="D61" s="18">
        <f>SUM(D62:D65)</f>
        <v>226920.05</v>
      </c>
      <c r="E61" s="19">
        <f>D61*100/C61</f>
        <v>98.91894071490846</v>
      </c>
    </row>
    <row r="62" spans="1:5" ht="18">
      <c r="A62" s="13" t="s">
        <v>32</v>
      </c>
      <c r="B62" s="8" t="s">
        <v>33</v>
      </c>
      <c r="C62" s="14">
        <v>1000</v>
      </c>
      <c r="D62" s="14">
        <v>0</v>
      </c>
      <c r="E62" s="19"/>
    </row>
    <row r="63" spans="1:5" ht="18">
      <c r="A63" s="13" t="s">
        <v>34</v>
      </c>
      <c r="B63" s="8" t="s">
        <v>35</v>
      </c>
      <c r="C63" s="14">
        <v>1000</v>
      </c>
      <c r="D63" s="14">
        <v>549</v>
      </c>
      <c r="E63" s="15"/>
    </row>
    <row r="64" spans="1:5" ht="18">
      <c r="A64" s="13" t="s">
        <v>44</v>
      </c>
      <c r="B64" s="8" t="s">
        <v>45</v>
      </c>
      <c r="C64" s="14">
        <f>1000+100000+125400</f>
        <v>226400</v>
      </c>
      <c r="D64" s="14">
        <v>226371.05</v>
      </c>
      <c r="E64" s="15"/>
    </row>
    <row r="65" spans="1:5" ht="18">
      <c r="A65" s="20" t="s">
        <v>16</v>
      </c>
      <c r="B65" s="7" t="s">
        <v>17</v>
      </c>
      <c r="C65" s="21">
        <v>1000</v>
      </c>
      <c r="D65" s="21">
        <v>0</v>
      </c>
      <c r="E65" s="22"/>
    </row>
    <row r="66" spans="1:5" ht="18">
      <c r="A66" s="9" t="s">
        <v>48</v>
      </c>
      <c r="B66" s="10" t="s">
        <v>49</v>
      </c>
      <c r="C66" s="11">
        <f>SUM(C68)</f>
        <v>185100</v>
      </c>
      <c r="D66" s="11">
        <f>SUM(D68)</f>
        <v>50744.83</v>
      </c>
      <c r="E66" s="12">
        <f>D66*100/C66</f>
        <v>27.414819016747703</v>
      </c>
    </row>
    <row r="67" spans="1:5" ht="18">
      <c r="A67" s="13"/>
      <c r="B67" s="8"/>
      <c r="C67" s="14"/>
      <c r="D67" s="14"/>
      <c r="E67" s="15"/>
    </row>
    <row r="68" spans="1:5" ht="18">
      <c r="A68" s="16" t="s">
        <v>50</v>
      </c>
      <c r="B68" s="17" t="s">
        <v>51</v>
      </c>
      <c r="C68" s="18">
        <f>SUM(C69:C75)</f>
        <v>185100</v>
      </c>
      <c r="D68" s="18">
        <f>SUM(D69:D75)</f>
        <v>50744.83</v>
      </c>
      <c r="E68" s="19">
        <f>D68*100/C68</f>
        <v>27.414819016747703</v>
      </c>
    </row>
    <row r="69" spans="1:5" ht="18">
      <c r="A69" s="13" t="s">
        <v>32</v>
      </c>
      <c r="B69" s="8" t="s">
        <v>33</v>
      </c>
      <c r="C69" s="14">
        <f>1000+12000+10000</f>
        <v>23000</v>
      </c>
      <c r="D69" s="14">
        <v>2970</v>
      </c>
      <c r="E69" s="15"/>
    </row>
    <row r="70" spans="1:5" ht="18">
      <c r="A70" s="13" t="s">
        <v>34</v>
      </c>
      <c r="B70" s="8" t="s">
        <v>35</v>
      </c>
      <c r="C70" s="14">
        <f>5000+15000+2000</f>
        <v>22000</v>
      </c>
      <c r="D70" s="14">
        <v>19886.21</v>
      </c>
      <c r="E70" s="15"/>
    </row>
    <row r="71" spans="1:5" ht="18">
      <c r="A71" s="13" t="s">
        <v>44</v>
      </c>
      <c r="B71" s="8" t="s">
        <v>45</v>
      </c>
      <c r="C71" s="14">
        <v>20000</v>
      </c>
      <c r="D71" s="14"/>
      <c r="E71" s="15"/>
    </row>
    <row r="72" spans="1:5" ht="18">
      <c r="A72" s="13" t="s">
        <v>16</v>
      </c>
      <c r="B72" s="8" t="s">
        <v>52</v>
      </c>
      <c r="C72" s="14">
        <f>106100+10000-2000</f>
        <v>114100</v>
      </c>
      <c r="D72" s="14">
        <v>27672.62</v>
      </c>
      <c r="E72" s="15"/>
    </row>
    <row r="73" spans="1:5" ht="18">
      <c r="A73" s="13" t="s">
        <v>240</v>
      </c>
      <c r="B73" s="8" t="s">
        <v>241</v>
      </c>
      <c r="C73" s="14">
        <v>3000</v>
      </c>
      <c r="D73" s="14">
        <v>0</v>
      </c>
      <c r="E73" s="15"/>
    </row>
    <row r="74" spans="1:5" ht="18">
      <c r="A74" s="13"/>
      <c r="B74" s="8" t="s">
        <v>242</v>
      </c>
      <c r="C74" s="14"/>
      <c r="D74" s="14"/>
      <c r="E74" s="15"/>
    </row>
    <row r="75" spans="1:5" ht="18">
      <c r="A75" s="20" t="s">
        <v>53</v>
      </c>
      <c r="B75" s="7" t="s">
        <v>54</v>
      </c>
      <c r="C75" s="21">
        <v>3000</v>
      </c>
      <c r="D75" s="21">
        <v>216</v>
      </c>
      <c r="E75" s="22"/>
    </row>
    <row r="76" spans="1:5" ht="18">
      <c r="A76" s="23"/>
      <c r="B76" s="24"/>
      <c r="C76" s="25"/>
      <c r="D76" s="25"/>
      <c r="E76" s="27"/>
    </row>
    <row r="77" spans="1:5" ht="18">
      <c r="A77" s="9" t="s">
        <v>55</v>
      </c>
      <c r="B77" s="10" t="s">
        <v>56</v>
      </c>
      <c r="C77" s="11">
        <f>SUM(C79+C85+C93+C135+C129)</f>
        <v>1687640</v>
      </c>
      <c r="D77" s="11">
        <f>SUM(D79+D85+D93+D135+D129)</f>
        <v>1101249.53</v>
      </c>
      <c r="E77" s="12">
        <f>D77*100/C77</f>
        <v>65.25381775734161</v>
      </c>
    </row>
    <row r="78" spans="1:5" ht="18">
      <c r="A78" s="13"/>
      <c r="B78" s="8"/>
      <c r="C78" s="14"/>
      <c r="D78" s="14"/>
      <c r="E78" s="15"/>
    </row>
    <row r="79" spans="1:5" ht="18">
      <c r="A79" s="16" t="s">
        <v>57</v>
      </c>
      <c r="B79" s="17" t="s">
        <v>58</v>
      </c>
      <c r="C79" s="18">
        <f>SUM(C80:C83)</f>
        <v>139000</v>
      </c>
      <c r="D79" s="18">
        <f>SUM(D80:D83)</f>
        <v>85154.73999999999</v>
      </c>
      <c r="E79" s="19">
        <f>D79*100/C79</f>
        <v>61.262402877697845</v>
      </c>
    </row>
    <row r="80" spans="1:5" ht="18">
      <c r="A80" s="13" t="s">
        <v>22</v>
      </c>
      <c r="B80" s="8" t="s">
        <v>23</v>
      </c>
      <c r="C80" s="14">
        <v>110008</v>
      </c>
      <c r="D80" s="14">
        <f>35127.73+30964.44</f>
        <v>66092.17</v>
      </c>
      <c r="E80" s="15"/>
    </row>
    <row r="81" spans="1:5" ht="18">
      <c r="A81" s="13" t="s">
        <v>24</v>
      </c>
      <c r="B81" s="8" t="s">
        <v>25</v>
      </c>
      <c r="C81" s="14">
        <v>6492</v>
      </c>
      <c r="D81" s="14">
        <v>6491.73</v>
      </c>
      <c r="E81" s="15"/>
    </row>
    <row r="82" spans="1:5" ht="18">
      <c r="A82" s="13" t="s">
        <v>26</v>
      </c>
      <c r="B82" s="8" t="s">
        <v>27</v>
      </c>
      <c r="C82" s="14">
        <v>19000</v>
      </c>
      <c r="D82" s="14">
        <f>5257.44+5567.46</f>
        <v>10824.9</v>
      </c>
      <c r="E82" s="15"/>
    </row>
    <row r="83" spans="1:5" ht="18">
      <c r="A83" s="13" t="s">
        <v>28</v>
      </c>
      <c r="B83" s="8" t="s">
        <v>29</v>
      </c>
      <c r="C83" s="14">
        <v>3500</v>
      </c>
      <c r="D83" s="14">
        <f>848.11+897.83</f>
        <v>1745.94</v>
      </c>
      <c r="E83" s="15"/>
    </row>
    <row r="84" spans="1:5" ht="18">
      <c r="A84" s="13"/>
      <c r="B84" s="8"/>
      <c r="C84" s="14"/>
      <c r="D84" s="14"/>
      <c r="E84" s="15"/>
    </row>
    <row r="85" spans="1:5" ht="18">
      <c r="A85" s="16" t="s">
        <v>60</v>
      </c>
      <c r="B85" s="17" t="s">
        <v>61</v>
      </c>
      <c r="C85" s="18">
        <f>SUM(C86:C91)</f>
        <v>31500</v>
      </c>
      <c r="D85" s="18">
        <f>SUM(D86:D91)</f>
        <v>18100.22</v>
      </c>
      <c r="E85" s="19">
        <f>D85*100/C85</f>
        <v>57.461015873015874</v>
      </c>
    </row>
    <row r="86" spans="1:5" ht="18">
      <c r="A86" s="13" t="s">
        <v>62</v>
      </c>
      <c r="B86" s="8" t="s">
        <v>63</v>
      </c>
      <c r="C86" s="14">
        <v>30000</v>
      </c>
      <c r="D86" s="14">
        <v>17903.4</v>
      </c>
      <c r="E86" s="15"/>
    </row>
    <row r="87" spans="1:5" ht="18">
      <c r="A87" s="13" t="s">
        <v>34</v>
      </c>
      <c r="B87" s="8" t="s">
        <v>35</v>
      </c>
      <c r="C87" s="14">
        <v>500</v>
      </c>
      <c r="D87" s="14">
        <v>196.82</v>
      </c>
      <c r="E87" s="15"/>
    </row>
    <row r="88" spans="1:5" ht="18">
      <c r="A88" s="13" t="s">
        <v>16</v>
      </c>
      <c r="B88" s="8" t="s">
        <v>17</v>
      </c>
      <c r="C88" s="14">
        <v>500</v>
      </c>
      <c r="D88" s="14">
        <v>0</v>
      </c>
      <c r="E88" s="15"/>
    </row>
    <row r="89" spans="1:5" ht="18">
      <c r="A89" s="13" t="s">
        <v>36</v>
      </c>
      <c r="B89" s="8" t="s">
        <v>37</v>
      </c>
      <c r="C89" s="14">
        <v>150</v>
      </c>
      <c r="D89" s="14">
        <v>0</v>
      </c>
      <c r="E89" s="15"/>
    </row>
    <row r="90" spans="1:5" ht="18">
      <c r="A90" s="13" t="s">
        <v>223</v>
      </c>
      <c r="B90" s="8" t="s">
        <v>224</v>
      </c>
      <c r="C90" s="14">
        <v>350</v>
      </c>
      <c r="D90" s="14">
        <v>0</v>
      </c>
      <c r="E90" s="15"/>
    </row>
    <row r="91" spans="1:5" ht="18">
      <c r="A91" s="13"/>
      <c r="B91" s="8" t="s">
        <v>225</v>
      </c>
      <c r="C91" s="14"/>
      <c r="D91" s="14"/>
      <c r="E91" s="15"/>
    </row>
    <row r="92" spans="1:5" ht="18">
      <c r="A92" s="13"/>
      <c r="B92" s="8"/>
      <c r="C92" s="14"/>
      <c r="D92" s="14"/>
      <c r="E92" s="15"/>
    </row>
    <row r="93" spans="1:5" ht="18">
      <c r="A93" s="16" t="s">
        <v>64</v>
      </c>
      <c r="B93" s="17" t="s">
        <v>65</v>
      </c>
      <c r="C93" s="18">
        <f>SUM(C94:C126)</f>
        <v>1475500</v>
      </c>
      <c r="D93" s="18">
        <f>SUM(D94:D126)</f>
        <v>978651.29</v>
      </c>
      <c r="E93" s="19">
        <f>D93*100/C93</f>
        <v>66.32675635377838</v>
      </c>
    </row>
    <row r="94" spans="1:5" ht="18">
      <c r="A94" s="59" t="s">
        <v>231</v>
      </c>
      <c r="B94" s="60" t="s">
        <v>232</v>
      </c>
      <c r="C94" s="41">
        <v>2000</v>
      </c>
      <c r="D94" s="41">
        <v>429</v>
      </c>
      <c r="E94" s="19"/>
    </row>
    <row r="95" spans="1:5" ht="18">
      <c r="A95" s="13" t="s">
        <v>22</v>
      </c>
      <c r="B95" s="8" t="s">
        <v>66</v>
      </c>
      <c r="C95" s="14">
        <f>879000-5000</f>
        <v>874000</v>
      </c>
      <c r="D95" s="14">
        <v>528704.65</v>
      </c>
      <c r="E95" s="15"/>
    </row>
    <row r="96" spans="1:5" ht="18">
      <c r="A96" s="13" t="s">
        <v>24</v>
      </c>
      <c r="B96" s="8" t="s">
        <v>67</v>
      </c>
      <c r="C96" s="14">
        <v>56472</v>
      </c>
      <c r="D96" s="14">
        <v>56471.7</v>
      </c>
      <c r="E96" s="15"/>
    </row>
    <row r="97" spans="1:5" ht="18">
      <c r="A97" s="13" t="s">
        <v>26</v>
      </c>
      <c r="B97" s="8" t="s">
        <v>27</v>
      </c>
      <c r="C97" s="14">
        <v>137000</v>
      </c>
      <c r="D97" s="14">
        <v>90776.39</v>
      </c>
      <c r="E97" s="15"/>
    </row>
    <row r="98" spans="1:5" ht="18">
      <c r="A98" s="13" t="s">
        <v>28</v>
      </c>
      <c r="B98" s="8" t="s">
        <v>29</v>
      </c>
      <c r="C98" s="14">
        <v>25000</v>
      </c>
      <c r="D98" s="14">
        <v>15431.35</v>
      </c>
      <c r="E98" s="15"/>
    </row>
    <row r="99" spans="1:5" ht="18">
      <c r="A99" s="13" t="s">
        <v>30</v>
      </c>
      <c r="B99" s="8" t="s">
        <v>59</v>
      </c>
      <c r="C99" s="14">
        <v>27000</v>
      </c>
      <c r="D99" s="14">
        <v>16803.6</v>
      </c>
      <c r="E99" s="15"/>
    </row>
    <row r="100" spans="1:5" ht="18">
      <c r="A100" s="13" t="s">
        <v>32</v>
      </c>
      <c r="B100" s="8" t="s">
        <v>33</v>
      </c>
      <c r="C100" s="14">
        <v>85528</v>
      </c>
      <c r="D100" s="14">
        <v>47567.5</v>
      </c>
      <c r="E100" s="15"/>
    </row>
    <row r="101" spans="1:5" ht="18">
      <c r="A101" s="13" t="s">
        <v>34</v>
      </c>
      <c r="B101" s="8" t="s">
        <v>35</v>
      </c>
      <c r="C101" s="14">
        <f>55000+5000</f>
        <v>60000</v>
      </c>
      <c r="D101" s="14">
        <v>52043.57</v>
      </c>
      <c r="E101" s="15"/>
    </row>
    <row r="102" spans="1:5" ht="18">
      <c r="A102" s="13" t="s">
        <v>68</v>
      </c>
      <c r="B102" s="8" t="s">
        <v>69</v>
      </c>
      <c r="C102" s="14">
        <v>22000</v>
      </c>
      <c r="D102" s="14">
        <v>13820.46</v>
      </c>
      <c r="E102" s="15"/>
    </row>
    <row r="103" spans="1:5" ht="18">
      <c r="A103" s="13" t="s">
        <v>44</v>
      </c>
      <c r="B103" s="8" t="s">
        <v>45</v>
      </c>
      <c r="C103" s="14">
        <v>100</v>
      </c>
      <c r="D103" s="14">
        <v>0</v>
      </c>
      <c r="E103" s="15"/>
    </row>
    <row r="104" spans="1:5" ht="18">
      <c r="A104" s="13" t="s">
        <v>70</v>
      </c>
      <c r="B104" s="8" t="s">
        <v>71</v>
      </c>
      <c r="C104" s="14">
        <v>3000</v>
      </c>
      <c r="D104" s="14">
        <v>1680</v>
      </c>
      <c r="E104" s="15"/>
    </row>
    <row r="105" spans="1:5" ht="18">
      <c r="A105" s="13" t="s">
        <v>16</v>
      </c>
      <c r="B105" s="8" t="s">
        <v>17</v>
      </c>
      <c r="C105" s="14">
        <f>66000-5000-5000</f>
        <v>56000</v>
      </c>
      <c r="D105" s="14">
        <v>49484.94</v>
      </c>
      <c r="E105" s="15"/>
    </row>
    <row r="106" spans="1:5" ht="18">
      <c r="A106" s="13" t="s">
        <v>177</v>
      </c>
      <c r="B106" s="8" t="s">
        <v>178</v>
      </c>
      <c r="C106" s="14">
        <v>4000</v>
      </c>
      <c r="D106" s="14">
        <v>3368.42</v>
      </c>
      <c r="E106" s="15"/>
    </row>
    <row r="107" spans="1:5" ht="18">
      <c r="A107" s="13" t="s">
        <v>211</v>
      </c>
      <c r="B107" s="8" t="s">
        <v>212</v>
      </c>
      <c r="C107" s="14">
        <v>4500</v>
      </c>
      <c r="D107" s="14">
        <v>2279.63</v>
      </c>
      <c r="E107" s="15"/>
    </row>
    <row r="108" spans="1:5" ht="18">
      <c r="A108" s="13"/>
      <c r="B108" s="8" t="s">
        <v>213</v>
      </c>
      <c r="C108" s="14"/>
      <c r="D108" s="14"/>
      <c r="E108" s="15"/>
    </row>
    <row r="109" spans="1:5" ht="18">
      <c r="A109" s="13" t="s">
        <v>214</v>
      </c>
      <c r="B109" s="8" t="s">
        <v>212</v>
      </c>
      <c r="C109" s="14">
        <v>10000</v>
      </c>
      <c r="D109" s="14">
        <v>8503.34</v>
      </c>
      <c r="E109" s="15"/>
    </row>
    <row r="110" spans="1:5" ht="18">
      <c r="A110" s="13"/>
      <c r="B110" s="8" t="s">
        <v>215</v>
      </c>
      <c r="C110" s="14"/>
      <c r="D110" s="14"/>
      <c r="E110" s="15"/>
    </row>
    <row r="111" spans="1:5" ht="18">
      <c r="A111" s="13" t="s">
        <v>240</v>
      </c>
      <c r="B111" s="8" t="s">
        <v>241</v>
      </c>
      <c r="C111" s="14">
        <v>900</v>
      </c>
      <c r="D111" s="14">
        <v>0</v>
      </c>
      <c r="E111" s="15"/>
    </row>
    <row r="112" spans="1:5" ht="18">
      <c r="A112" s="13"/>
      <c r="B112" s="8" t="s">
        <v>242</v>
      </c>
      <c r="C112" s="14"/>
      <c r="D112" s="14"/>
      <c r="E112" s="15"/>
    </row>
    <row r="113" spans="1:5" ht="18">
      <c r="A113" s="13" t="s">
        <v>36</v>
      </c>
      <c r="B113" s="8" t="s">
        <v>37</v>
      </c>
      <c r="C113" s="14">
        <v>9000</v>
      </c>
      <c r="D113" s="14">
        <v>7728.26</v>
      </c>
      <c r="E113" s="15"/>
    </row>
    <row r="114" spans="1:5" ht="18">
      <c r="A114" s="13" t="s">
        <v>53</v>
      </c>
      <c r="B114" s="8" t="s">
        <v>54</v>
      </c>
      <c r="C114" s="14">
        <f>7000-1500</f>
        <v>5500</v>
      </c>
      <c r="D114" s="14">
        <v>5020.52</v>
      </c>
      <c r="E114" s="15"/>
    </row>
    <row r="115" spans="1:5" ht="18">
      <c r="A115" s="13" t="s">
        <v>38</v>
      </c>
      <c r="B115" s="8" t="s">
        <v>72</v>
      </c>
      <c r="C115" s="14">
        <v>25400</v>
      </c>
      <c r="D115" s="14">
        <v>24629.55</v>
      </c>
      <c r="E115" s="15"/>
    </row>
    <row r="116" spans="1:5" ht="18">
      <c r="A116" s="13" t="s">
        <v>243</v>
      </c>
      <c r="B116" s="8" t="s">
        <v>244</v>
      </c>
      <c r="C116" s="14">
        <v>1000</v>
      </c>
      <c r="D116" s="14">
        <v>0</v>
      </c>
      <c r="E116" s="15"/>
    </row>
    <row r="117" spans="1:5" ht="18">
      <c r="A117" s="13" t="s">
        <v>254</v>
      </c>
      <c r="B117" s="8" t="s">
        <v>255</v>
      </c>
      <c r="C117" s="14">
        <v>1000</v>
      </c>
      <c r="D117" s="14">
        <v>894.26</v>
      </c>
      <c r="E117" s="15"/>
    </row>
    <row r="118" spans="1:5" ht="18">
      <c r="A118" s="13"/>
      <c r="B118" s="8" t="s">
        <v>256</v>
      </c>
      <c r="C118" s="14"/>
      <c r="D118" s="14"/>
      <c r="E118" s="15"/>
    </row>
    <row r="119" spans="1:5" ht="18">
      <c r="A119" s="13" t="s">
        <v>226</v>
      </c>
      <c r="B119" s="8" t="s">
        <v>227</v>
      </c>
      <c r="C119" s="14">
        <v>100</v>
      </c>
      <c r="D119" s="14">
        <v>0</v>
      </c>
      <c r="E119" s="15"/>
    </row>
    <row r="120" spans="1:5" ht="18">
      <c r="A120" s="13" t="s">
        <v>223</v>
      </c>
      <c r="B120" s="8" t="s">
        <v>224</v>
      </c>
      <c r="C120" s="14">
        <f>9000+5000</f>
        <v>14000</v>
      </c>
      <c r="D120" s="14">
        <v>13117.52</v>
      </c>
      <c r="E120" s="15"/>
    </row>
    <row r="121" spans="1:5" ht="18">
      <c r="A121" s="13"/>
      <c r="B121" s="8" t="s">
        <v>225</v>
      </c>
      <c r="C121" s="14"/>
      <c r="D121" s="14"/>
      <c r="E121" s="15"/>
    </row>
    <row r="122" spans="1:5" ht="18">
      <c r="A122" s="13" t="s">
        <v>216</v>
      </c>
      <c r="B122" s="8" t="s">
        <v>218</v>
      </c>
      <c r="C122" s="14">
        <f>2000+2000</f>
        <v>4000</v>
      </c>
      <c r="D122" s="14">
        <v>3050.13</v>
      </c>
      <c r="E122" s="15"/>
    </row>
    <row r="123" spans="1:5" ht="18">
      <c r="A123" s="13"/>
      <c r="B123" s="8" t="s">
        <v>217</v>
      </c>
      <c r="C123" s="14"/>
      <c r="D123" s="14"/>
      <c r="E123" s="15"/>
    </row>
    <row r="124" spans="1:5" ht="18">
      <c r="A124" s="13" t="s">
        <v>219</v>
      </c>
      <c r="B124" s="8" t="s">
        <v>220</v>
      </c>
      <c r="C124" s="14">
        <f>20000-5000+3000</f>
        <v>18000</v>
      </c>
      <c r="D124" s="14">
        <v>14804.38</v>
      </c>
      <c r="E124" s="15"/>
    </row>
    <row r="125" spans="1:5" ht="18">
      <c r="A125" s="13"/>
      <c r="B125" s="8" t="s">
        <v>221</v>
      </c>
      <c r="C125" s="14"/>
      <c r="D125" s="14"/>
      <c r="E125" s="15"/>
    </row>
    <row r="126" spans="1:5" ht="18">
      <c r="A126" s="13" t="s">
        <v>73</v>
      </c>
      <c r="B126" s="8" t="s">
        <v>74</v>
      </c>
      <c r="C126" s="14">
        <v>30000</v>
      </c>
      <c r="D126" s="14">
        <v>22042.12</v>
      </c>
      <c r="E126" s="15"/>
    </row>
    <row r="127" spans="1:5" ht="18">
      <c r="A127" s="13"/>
      <c r="B127" s="8" t="s">
        <v>75</v>
      </c>
      <c r="C127" s="14"/>
      <c r="D127" s="14"/>
      <c r="E127" s="15"/>
    </row>
    <row r="128" spans="1:5" ht="18">
      <c r="A128" s="13"/>
      <c r="B128" s="8"/>
      <c r="C128" s="14"/>
      <c r="D128" s="14"/>
      <c r="E128" s="19"/>
    </row>
    <row r="129" spans="1:5" ht="18">
      <c r="A129" s="16" t="s">
        <v>179</v>
      </c>
      <c r="B129" s="17" t="s">
        <v>180</v>
      </c>
      <c r="C129" s="18">
        <f>SUM(C130:C133)</f>
        <v>25000</v>
      </c>
      <c r="D129" s="18">
        <f>SUM(D130:D133)</f>
        <v>9326.54</v>
      </c>
      <c r="E129" s="19">
        <f>D129*100/C129</f>
        <v>37.306160000000006</v>
      </c>
    </row>
    <row r="130" spans="1:5" ht="18">
      <c r="A130" s="13" t="s">
        <v>32</v>
      </c>
      <c r="B130" s="62" t="s">
        <v>33</v>
      </c>
      <c r="C130" s="14">
        <v>2000</v>
      </c>
      <c r="D130" s="14">
        <v>1080</v>
      </c>
      <c r="E130" s="15"/>
    </row>
    <row r="131" spans="1:5" ht="18">
      <c r="A131" s="13" t="s">
        <v>34</v>
      </c>
      <c r="B131" s="62" t="s">
        <v>35</v>
      </c>
      <c r="C131" s="14">
        <v>18700</v>
      </c>
      <c r="D131" s="14">
        <v>5596.54</v>
      </c>
      <c r="E131" s="15"/>
    </row>
    <row r="132" spans="1:5" ht="18">
      <c r="A132" s="13" t="s">
        <v>16</v>
      </c>
      <c r="B132" s="62" t="s">
        <v>17</v>
      </c>
      <c r="C132" s="14">
        <v>3000</v>
      </c>
      <c r="D132" s="14">
        <v>2650</v>
      </c>
      <c r="E132" s="15"/>
    </row>
    <row r="133" spans="1:5" ht="18">
      <c r="A133" s="13" t="s">
        <v>53</v>
      </c>
      <c r="B133" s="62" t="s">
        <v>54</v>
      </c>
      <c r="C133" s="14">
        <v>1300</v>
      </c>
      <c r="D133" s="14">
        <v>0</v>
      </c>
      <c r="E133" s="15"/>
    </row>
    <row r="134" spans="1:5" ht="18">
      <c r="A134" s="13"/>
      <c r="B134" s="8"/>
      <c r="C134" s="14"/>
      <c r="D134" s="14"/>
      <c r="E134" s="15"/>
    </row>
    <row r="135" spans="1:5" ht="18">
      <c r="A135" s="72" t="s">
        <v>76</v>
      </c>
      <c r="B135" s="63" t="s">
        <v>15</v>
      </c>
      <c r="C135" s="73">
        <f>SUM(C136:C142)</f>
        <v>16640</v>
      </c>
      <c r="D135" s="73">
        <f>SUM(D136:D142)</f>
        <v>10016.74</v>
      </c>
      <c r="E135" s="74">
        <f>D135*100/C135</f>
        <v>60.19675480769231</v>
      </c>
    </row>
    <row r="136" spans="1:5" ht="18">
      <c r="A136" s="80" t="s">
        <v>239</v>
      </c>
      <c r="B136" s="81" t="s">
        <v>233</v>
      </c>
      <c r="C136" s="82">
        <v>1140</v>
      </c>
      <c r="D136" s="82"/>
      <c r="E136" s="74"/>
    </row>
    <row r="137" spans="1:5" ht="18">
      <c r="A137" s="80"/>
      <c r="B137" s="81" t="s">
        <v>206</v>
      </c>
      <c r="C137" s="82"/>
      <c r="D137" s="82"/>
      <c r="E137" s="74"/>
    </row>
    <row r="138" spans="1:5" ht="18">
      <c r="A138" s="80"/>
      <c r="B138" s="81" t="s">
        <v>283</v>
      </c>
      <c r="C138" s="82"/>
      <c r="D138" s="82"/>
      <c r="E138" s="74"/>
    </row>
    <row r="139" spans="1:5" ht="18">
      <c r="A139" s="70" t="s">
        <v>32</v>
      </c>
      <c r="B139" s="62" t="s">
        <v>33</v>
      </c>
      <c r="C139" s="65">
        <v>3500</v>
      </c>
      <c r="D139" s="65">
        <v>950</v>
      </c>
      <c r="E139" s="67"/>
    </row>
    <row r="140" spans="1:5" ht="18">
      <c r="A140" s="70" t="s">
        <v>34</v>
      </c>
      <c r="B140" s="62" t="s">
        <v>35</v>
      </c>
      <c r="C140" s="65">
        <v>5000</v>
      </c>
      <c r="D140" s="65">
        <v>3576.74</v>
      </c>
      <c r="E140" s="67"/>
    </row>
    <row r="141" spans="1:5" ht="18">
      <c r="A141" s="70" t="s">
        <v>16</v>
      </c>
      <c r="B141" s="62" t="s">
        <v>17</v>
      </c>
      <c r="C141" s="65">
        <f>2000+5000</f>
        <v>7000</v>
      </c>
      <c r="D141" s="65">
        <v>5490</v>
      </c>
      <c r="E141" s="67"/>
    </row>
    <row r="142" spans="1:5" ht="18">
      <c r="A142" s="71"/>
      <c r="B142" s="64"/>
      <c r="C142" s="66"/>
      <c r="D142" s="66"/>
      <c r="E142" s="68"/>
    </row>
    <row r="143" spans="1:5" ht="18">
      <c r="A143" s="72" t="s">
        <v>77</v>
      </c>
      <c r="B143" s="63" t="s">
        <v>78</v>
      </c>
      <c r="C143" s="73">
        <f>SUM(C146)</f>
        <v>823</v>
      </c>
      <c r="D143" s="73">
        <f>SUM(D146)</f>
        <v>426.44</v>
      </c>
      <c r="E143" s="75">
        <f>D143*100/C143</f>
        <v>51.81530984204131</v>
      </c>
    </row>
    <row r="144" spans="1:5" ht="18">
      <c r="A144" s="61"/>
      <c r="B144" s="63" t="s">
        <v>79</v>
      </c>
      <c r="C144" s="65"/>
      <c r="D144" s="65"/>
      <c r="E144" s="67"/>
    </row>
    <row r="145" spans="1:5" ht="18">
      <c r="A145" s="13"/>
      <c r="B145" s="8"/>
      <c r="C145" s="14"/>
      <c r="D145" s="14"/>
      <c r="E145" s="15"/>
    </row>
    <row r="146" spans="1:5" ht="18">
      <c r="A146" s="16" t="s">
        <v>80</v>
      </c>
      <c r="B146" s="17" t="s">
        <v>81</v>
      </c>
      <c r="C146" s="18">
        <f>SUM(C148:C150)</f>
        <v>823</v>
      </c>
      <c r="D146" s="18">
        <f>SUM(D148:D150)</f>
        <v>426.44</v>
      </c>
      <c r="E146" s="19">
        <f>D146*100/C146</f>
        <v>51.81530984204131</v>
      </c>
    </row>
    <row r="147" spans="1:5" ht="18">
      <c r="A147" s="13"/>
      <c r="B147" s="17" t="s">
        <v>82</v>
      </c>
      <c r="C147" s="14"/>
      <c r="D147" s="14"/>
      <c r="E147" s="15"/>
    </row>
    <row r="148" spans="1:5" ht="18">
      <c r="A148" s="13" t="s">
        <v>26</v>
      </c>
      <c r="B148" s="8" t="s">
        <v>27</v>
      </c>
      <c r="C148" s="14">
        <f>120-13</f>
        <v>107</v>
      </c>
      <c r="D148" s="14">
        <v>55.06</v>
      </c>
      <c r="E148" s="15"/>
    </row>
    <row r="149" spans="1:5" ht="18">
      <c r="A149" s="13" t="s">
        <v>28</v>
      </c>
      <c r="B149" s="8" t="s">
        <v>29</v>
      </c>
      <c r="C149" s="14">
        <f>20-2</f>
        <v>18</v>
      </c>
      <c r="D149" s="14">
        <v>8.88</v>
      </c>
      <c r="E149" s="15"/>
    </row>
    <row r="150" spans="1:5" ht="18">
      <c r="A150" s="13" t="s">
        <v>32</v>
      </c>
      <c r="B150" s="8" t="s">
        <v>33</v>
      </c>
      <c r="C150" s="14">
        <f>784-86</f>
        <v>698</v>
      </c>
      <c r="D150" s="14">
        <v>362.5</v>
      </c>
      <c r="E150" s="15"/>
    </row>
    <row r="151" spans="1:5" ht="17.25" customHeight="1">
      <c r="A151" s="20"/>
      <c r="B151" s="7"/>
      <c r="C151" s="21"/>
      <c r="D151" s="21"/>
      <c r="E151" s="22"/>
    </row>
    <row r="152" spans="1:5" ht="18">
      <c r="A152" s="42" t="s">
        <v>83</v>
      </c>
      <c r="B152" s="49" t="s">
        <v>84</v>
      </c>
      <c r="C152" s="28">
        <f>SUM(C154+C175+C179)</f>
        <v>235600</v>
      </c>
      <c r="D152" s="28">
        <f>SUM(D154+D175+D179)</f>
        <v>62147.35</v>
      </c>
      <c r="E152" s="54">
        <f>D152*100/C152</f>
        <v>26.378331918505943</v>
      </c>
    </row>
    <row r="153" spans="1:5" ht="18">
      <c r="A153" s="44"/>
      <c r="B153" s="50" t="s">
        <v>85</v>
      </c>
      <c r="C153" s="30"/>
      <c r="D153" s="14"/>
      <c r="E153" s="26"/>
    </row>
    <row r="154" spans="1:5" ht="18">
      <c r="A154" s="43" t="s">
        <v>86</v>
      </c>
      <c r="B154" s="50" t="s">
        <v>87</v>
      </c>
      <c r="C154" s="29">
        <f>SUM(C155:C173)</f>
        <v>232600</v>
      </c>
      <c r="D154" s="29">
        <f>SUM(D155:D173)</f>
        <v>62147.35</v>
      </c>
      <c r="E154" s="52">
        <f>D154*100/C154</f>
        <v>26.71855116079106</v>
      </c>
    </row>
    <row r="155" spans="1:5" ht="18">
      <c r="A155" s="44" t="s">
        <v>62</v>
      </c>
      <c r="B155" s="4" t="s">
        <v>63</v>
      </c>
      <c r="C155" s="30">
        <v>5000</v>
      </c>
      <c r="D155" s="14">
        <v>2163.14</v>
      </c>
      <c r="E155" s="26"/>
    </row>
    <row r="156" spans="1:5" ht="18">
      <c r="A156" s="44" t="s">
        <v>26</v>
      </c>
      <c r="B156" s="4" t="s">
        <v>27</v>
      </c>
      <c r="C156" s="30">
        <v>1500</v>
      </c>
      <c r="D156" s="14">
        <v>399.28</v>
      </c>
      <c r="E156" s="26"/>
    </row>
    <row r="157" spans="1:5" ht="18">
      <c r="A157" s="44" t="s">
        <v>32</v>
      </c>
      <c r="B157" s="4" t="s">
        <v>33</v>
      </c>
      <c r="C157" s="30">
        <v>33500</v>
      </c>
      <c r="D157" s="14">
        <v>12540</v>
      </c>
      <c r="E157" s="26"/>
    </row>
    <row r="158" spans="1:5" ht="18">
      <c r="A158" s="44" t="s">
        <v>34</v>
      </c>
      <c r="B158" s="4" t="s">
        <v>35</v>
      </c>
      <c r="C158" s="30">
        <f>47000-2200-5000</f>
        <v>39800</v>
      </c>
      <c r="D158" s="14">
        <v>18198.06</v>
      </c>
      <c r="E158" s="26"/>
    </row>
    <row r="159" spans="1:5" ht="18">
      <c r="A159" s="44" t="s">
        <v>68</v>
      </c>
      <c r="B159" s="4" t="s">
        <v>69</v>
      </c>
      <c r="C159" s="30">
        <v>18000</v>
      </c>
      <c r="D159" s="14">
        <v>14877.68</v>
      </c>
      <c r="E159" s="26"/>
    </row>
    <row r="160" spans="1:5" ht="18">
      <c r="A160" s="44" t="s">
        <v>44</v>
      </c>
      <c r="B160" s="4" t="s">
        <v>45</v>
      </c>
      <c r="C160" s="30">
        <f>110000-2000-10000</f>
        <v>98000</v>
      </c>
      <c r="D160" s="14">
        <v>0</v>
      </c>
      <c r="E160" s="26"/>
    </row>
    <row r="161" spans="1:5" ht="18">
      <c r="A161" s="44" t="s">
        <v>70</v>
      </c>
      <c r="B161" s="4" t="s">
        <v>71</v>
      </c>
      <c r="C161" s="30">
        <v>2000</v>
      </c>
      <c r="D161" s="14">
        <v>1645</v>
      </c>
      <c r="E161" s="26"/>
    </row>
    <row r="162" spans="1:5" ht="18">
      <c r="A162" s="44" t="s">
        <v>16</v>
      </c>
      <c r="B162" s="4" t="s">
        <v>17</v>
      </c>
      <c r="C162" s="30">
        <v>7000</v>
      </c>
      <c r="D162" s="14">
        <v>4564.13</v>
      </c>
      <c r="E162" s="26"/>
    </row>
    <row r="163" spans="1:5" ht="18">
      <c r="A163" s="44" t="s">
        <v>211</v>
      </c>
      <c r="B163" s="8" t="s">
        <v>212</v>
      </c>
      <c r="C163" s="30">
        <v>2200</v>
      </c>
      <c r="D163" s="14">
        <v>1869.02</v>
      </c>
      <c r="E163" s="26"/>
    </row>
    <row r="164" spans="1:5" ht="18">
      <c r="A164" s="44"/>
      <c r="B164" s="8" t="s">
        <v>213</v>
      </c>
      <c r="C164" s="30"/>
      <c r="D164" s="14"/>
      <c r="E164" s="26"/>
    </row>
    <row r="165" spans="1:5" ht="18">
      <c r="A165" s="44" t="s">
        <v>240</v>
      </c>
      <c r="B165" s="4" t="s">
        <v>241</v>
      </c>
      <c r="C165" s="30">
        <v>200</v>
      </c>
      <c r="D165" s="14">
        <v>0</v>
      </c>
      <c r="E165" s="26"/>
    </row>
    <row r="166" spans="1:5" ht="18">
      <c r="A166" s="44"/>
      <c r="B166" s="4" t="s">
        <v>257</v>
      </c>
      <c r="C166" s="30"/>
      <c r="D166" s="14"/>
      <c r="E166" s="26"/>
    </row>
    <row r="167" spans="1:5" ht="18">
      <c r="A167" s="44" t="s">
        <v>36</v>
      </c>
      <c r="B167" s="4" t="s">
        <v>37</v>
      </c>
      <c r="C167" s="30">
        <v>1500</v>
      </c>
      <c r="D167" s="14">
        <v>109.49</v>
      </c>
      <c r="E167" s="26"/>
    </row>
    <row r="168" spans="1:5" ht="18">
      <c r="A168" s="44" t="s">
        <v>53</v>
      </c>
      <c r="B168" s="4" t="s">
        <v>54</v>
      </c>
      <c r="C168" s="30">
        <v>7000</v>
      </c>
      <c r="D168" s="14">
        <v>987.25</v>
      </c>
      <c r="E168" s="26"/>
    </row>
    <row r="169" spans="1:5" ht="18">
      <c r="A169" s="44" t="s">
        <v>223</v>
      </c>
      <c r="B169" s="4" t="s">
        <v>224</v>
      </c>
      <c r="C169" s="30">
        <v>1000</v>
      </c>
      <c r="D169" s="14">
        <v>0</v>
      </c>
      <c r="E169" s="26"/>
    </row>
    <row r="170" spans="1:5" ht="18">
      <c r="A170" s="44"/>
      <c r="B170" s="4" t="s">
        <v>225</v>
      </c>
      <c r="C170" s="30"/>
      <c r="D170" s="14"/>
      <c r="E170" s="26"/>
    </row>
    <row r="171" spans="1:5" ht="18">
      <c r="A171" s="13" t="s">
        <v>219</v>
      </c>
      <c r="B171" s="8" t="s">
        <v>220</v>
      </c>
      <c r="C171" s="30">
        <v>900</v>
      </c>
      <c r="D171" s="14">
        <v>69</v>
      </c>
      <c r="E171" s="26"/>
    </row>
    <row r="172" spans="1:5" ht="18">
      <c r="A172" s="13"/>
      <c r="B172" s="8" t="s">
        <v>221</v>
      </c>
      <c r="C172" s="30"/>
      <c r="D172" s="14"/>
      <c r="E172" s="26"/>
    </row>
    <row r="173" spans="1:5" ht="18">
      <c r="A173" s="44" t="s">
        <v>73</v>
      </c>
      <c r="B173" s="4" t="s">
        <v>273</v>
      </c>
      <c r="C173" s="30">
        <f>5000+10000</f>
        <v>15000</v>
      </c>
      <c r="D173" s="14">
        <v>4725.3</v>
      </c>
      <c r="E173" s="26"/>
    </row>
    <row r="174" spans="1:5" ht="18">
      <c r="A174" s="44"/>
      <c r="B174" s="4"/>
      <c r="C174" s="30"/>
      <c r="D174" s="14"/>
      <c r="E174" s="26"/>
    </row>
    <row r="175" spans="1:5" ht="18">
      <c r="A175" s="43" t="s">
        <v>284</v>
      </c>
      <c r="B175" s="50" t="s">
        <v>285</v>
      </c>
      <c r="C175" s="29">
        <f>SUM(C176:C177)</f>
        <v>1000</v>
      </c>
      <c r="D175" s="29">
        <f>SUM(D176:D177)</f>
        <v>0</v>
      </c>
      <c r="E175" s="52">
        <f>D175*100/C175</f>
        <v>0</v>
      </c>
    </row>
    <row r="176" spans="1:5" ht="18">
      <c r="A176" s="44" t="s">
        <v>34</v>
      </c>
      <c r="B176" s="4" t="s">
        <v>35</v>
      </c>
      <c r="C176" s="30">
        <v>500</v>
      </c>
      <c r="D176" s="14"/>
      <c r="E176" s="26"/>
    </row>
    <row r="177" spans="1:5" ht="18">
      <c r="A177" s="44" t="s">
        <v>16</v>
      </c>
      <c r="B177" s="4" t="s">
        <v>17</v>
      </c>
      <c r="C177" s="30">
        <v>500</v>
      </c>
      <c r="D177" s="14"/>
      <c r="E177" s="26"/>
    </row>
    <row r="178" spans="1:5" ht="18">
      <c r="A178" s="44"/>
      <c r="B178" s="4"/>
      <c r="C178" s="30"/>
      <c r="D178" s="14"/>
      <c r="E178" s="26"/>
    </row>
    <row r="179" spans="1:5" ht="18">
      <c r="A179" s="43" t="s">
        <v>286</v>
      </c>
      <c r="B179" s="50" t="s">
        <v>47</v>
      </c>
      <c r="C179" s="29">
        <f>SUM(C180:C181)</f>
        <v>2000</v>
      </c>
      <c r="D179" s="29">
        <f>SUM(D180:D181)</f>
        <v>0</v>
      </c>
      <c r="E179" s="52">
        <f>D179*100/C179</f>
        <v>0</v>
      </c>
    </row>
    <row r="180" spans="1:5" ht="18">
      <c r="A180" s="44" t="s">
        <v>34</v>
      </c>
      <c r="B180" s="4" t="s">
        <v>35</v>
      </c>
      <c r="C180" s="30">
        <v>1000</v>
      </c>
      <c r="D180" s="14"/>
      <c r="E180" s="26"/>
    </row>
    <row r="181" spans="1:5" ht="18">
      <c r="A181" s="44" t="s">
        <v>16</v>
      </c>
      <c r="B181" s="4" t="s">
        <v>17</v>
      </c>
      <c r="C181" s="30">
        <v>1000</v>
      </c>
      <c r="D181" s="14"/>
      <c r="E181" s="26"/>
    </row>
    <row r="182" spans="1:5" ht="18">
      <c r="A182" s="44"/>
      <c r="B182" s="4"/>
      <c r="C182" s="30"/>
      <c r="D182" s="21"/>
      <c r="E182" s="26"/>
    </row>
    <row r="183" spans="1:5" ht="0.75" customHeight="1">
      <c r="A183" s="43" t="s">
        <v>88</v>
      </c>
      <c r="B183" s="50" t="s">
        <v>15</v>
      </c>
      <c r="C183" s="29">
        <f>SUM(C184:C187)</f>
        <v>0</v>
      </c>
      <c r="D183" s="29">
        <f>SUM(D184:D187)</f>
        <v>0</v>
      </c>
      <c r="E183" s="52" t="e">
        <f>D183*100/C183</f>
        <v>#DIV/0!</v>
      </c>
    </row>
    <row r="184" spans="1:5" ht="18" hidden="1">
      <c r="A184" s="44" t="s">
        <v>89</v>
      </c>
      <c r="B184" s="8" t="s">
        <v>98</v>
      </c>
      <c r="C184" s="30"/>
      <c r="D184" s="14"/>
      <c r="E184" s="52"/>
    </row>
    <row r="185" spans="1:5" ht="18" hidden="1">
      <c r="A185" s="44" t="s">
        <v>166</v>
      </c>
      <c r="B185" s="4" t="s">
        <v>167</v>
      </c>
      <c r="C185" s="30"/>
      <c r="D185" s="14"/>
      <c r="E185" s="52"/>
    </row>
    <row r="186" spans="1:5" ht="18" hidden="1">
      <c r="A186" s="44"/>
      <c r="B186" s="4" t="s">
        <v>168</v>
      </c>
      <c r="C186" s="30"/>
      <c r="D186" s="14"/>
      <c r="E186" s="52"/>
    </row>
    <row r="187" spans="1:5" ht="18" hidden="1">
      <c r="A187" s="45"/>
      <c r="B187" s="6" t="s">
        <v>169</v>
      </c>
      <c r="C187" s="31"/>
      <c r="D187" s="21"/>
      <c r="E187" s="53"/>
    </row>
    <row r="188" spans="1:5" ht="18">
      <c r="A188" s="9" t="s">
        <v>173</v>
      </c>
      <c r="B188" s="10" t="s">
        <v>176</v>
      </c>
      <c r="C188" s="11">
        <f>SUM(C190)</f>
        <v>36500</v>
      </c>
      <c r="D188" s="11">
        <f>SUM(D190)</f>
        <v>23613.879999999997</v>
      </c>
      <c r="E188" s="12">
        <f>D188*100/C188</f>
        <v>64.6955616438356</v>
      </c>
    </row>
    <row r="189" spans="1:5" ht="18">
      <c r="A189" s="13"/>
      <c r="B189" s="8"/>
      <c r="C189" s="14"/>
      <c r="D189" s="14"/>
      <c r="E189" s="15"/>
    </row>
    <row r="190" spans="1:5" ht="36">
      <c r="A190" s="16" t="s">
        <v>174</v>
      </c>
      <c r="B190" s="69" t="s">
        <v>175</v>
      </c>
      <c r="C190" s="18">
        <f>SUM(C191:C192)</f>
        <v>36500</v>
      </c>
      <c r="D190" s="18">
        <f>SUM(D191:D192)</f>
        <v>23613.879999999997</v>
      </c>
      <c r="E190" s="19">
        <f>D190*100/C190</f>
        <v>64.6955616438356</v>
      </c>
    </row>
    <row r="191" spans="1:5" ht="18">
      <c r="A191" s="13" t="s">
        <v>62</v>
      </c>
      <c r="B191" s="8" t="s">
        <v>63</v>
      </c>
      <c r="C191" s="14">
        <v>35000</v>
      </c>
      <c r="D191" s="14">
        <v>23499.62</v>
      </c>
      <c r="E191" s="15"/>
    </row>
    <row r="192" spans="1:5" ht="18">
      <c r="A192" s="13" t="s">
        <v>53</v>
      </c>
      <c r="B192" s="8" t="s">
        <v>54</v>
      </c>
      <c r="C192" s="14">
        <v>1500</v>
      </c>
      <c r="D192" s="14">
        <v>114.26</v>
      </c>
      <c r="E192" s="15"/>
    </row>
    <row r="193" spans="1:5" ht="18">
      <c r="A193" s="20"/>
      <c r="B193" s="7"/>
      <c r="C193" s="21"/>
      <c r="D193" s="21"/>
      <c r="E193" s="22"/>
    </row>
    <row r="194" spans="1:5" ht="18">
      <c r="A194" s="9" t="s">
        <v>197</v>
      </c>
      <c r="B194" s="10" t="s">
        <v>198</v>
      </c>
      <c r="C194" s="11">
        <f>SUM(C196)</f>
        <v>54700</v>
      </c>
      <c r="D194" s="11">
        <f>SUM(D196)</f>
        <v>22873.58</v>
      </c>
      <c r="E194" s="12">
        <f>D194*100/C194</f>
        <v>41.816416819012794</v>
      </c>
    </row>
    <row r="195" spans="1:5" ht="18">
      <c r="A195" s="13"/>
      <c r="B195" s="8"/>
      <c r="C195" s="14"/>
      <c r="D195" s="14"/>
      <c r="E195" s="15"/>
    </row>
    <row r="196" spans="1:5" ht="18">
      <c r="A196" s="16" t="s">
        <v>199</v>
      </c>
      <c r="B196" s="17" t="s">
        <v>201</v>
      </c>
      <c r="C196" s="18">
        <f>SUM(C198:C200)</f>
        <v>54700</v>
      </c>
      <c r="D196" s="18">
        <f>SUM(D198:D200)</f>
        <v>22873.58</v>
      </c>
      <c r="E196" s="19">
        <f>D196*100/C196</f>
        <v>41.816416819012794</v>
      </c>
    </row>
    <row r="197" spans="1:5" ht="18">
      <c r="A197" s="16"/>
      <c r="B197" s="17" t="s">
        <v>200</v>
      </c>
      <c r="C197" s="18"/>
      <c r="D197" s="18"/>
      <c r="E197" s="15"/>
    </row>
    <row r="198" spans="1:5" ht="18">
      <c r="A198" s="13" t="s">
        <v>16</v>
      </c>
      <c r="B198" s="8" t="s">
        <v>17</v>
      </c>
      <c r="C198" s="14">
        <f>20000+34700-54700</f>
        <v>0</v>
      </c>
      <c r="D198" s="14">
        <v>0</v>
      </c>
      <c r="E198" s="15"/>
    </row>
    <row r="199" spans="1:5" ht="18">
      <c r="A199" s="13" t="s">
        <v>266</v>
      </c>
      <c r="B199" s="8" t="s">
        <v>267</v>
      </c>
      <c r="C199" s="14">
        <v>54700</v>
      </c>
      <c r="D199" s="14">
        <v>22873.58</v>
      </c>
      <c r="E199" s="15"/>
    </row>
    <row r="200" spans="1:5" ht="18">
      <c r="A200" s="13"/>
      <c r="B200" s="8" t="s">
        <v>268</v>
      </c>
      <c r="C200" s="14"/>
      <c r="D200" s="14"/>
      <c r="E200" s="15"/>
    </row>
    <row r="201" spans="1:5" ht="18">
      <c r="A201" s="20"/>
      <c r="B201" s="7"/>
      <c r="C201" s="21"/>
      <c r="D201" s="21"/>
      <c r="E201" s="22"/>
    </row>
    <row r="202" spans="1:5" ht="18">
      <c r="A202" s="16" t="s">
        <v>90</v>
      </c>
      <c r="B202" s="17" t="s">
        <v>91</v>
      </c>
      <c r="C202" s="18">
        <f>SUM(C204)</f>
        <v>45000</v>
      </c>
      <c r="D202" s="18">
        <f>SUM(D204)</f>
        <v>0</v>
      </c>
      <c r="E202" s="12">
        <f>D202*100/C202</f>
        <v>0</v>
      </c>
    </row>
    <row r="203" spans="1:5" ht="18">
      <c r="A203" s="13"/>
      <c r="B203" s="8"/>
      <c r="C203" s="14"/>
      <c r="D203" s="14"/>
      <c r="E203" s="15"/>
    </row>
    <row r="204" spans="1:5" ht="18">
      <c r="A204" s="16" t="s">
        <v>92</v>
      </c>
      <c r="B204" s="17" t="s">
        <v>93</v>
      </c>
      <c r="C204" s="18">
        <f>SUM(C205:C206)</f>
        <v>45000</v>
      </c>
      <c r="D204" s="18">
        <f>SUM(D205:D206)</f>
        <v>0</v>
      </c>
      <c r="E204" s="19">
        <f>D204*100/C204</f>
        <v>0</v>
      </c>
    </row>
    <row r="205" spans="1:5" ht="18">
      <c r="A205" s="13" t="s">
        <v>94</v>
      </c>
      <c r="B205" s="8" t="s">
        <v>95</v>
      </c>
      <c r="C205" s="14">
        <f>60000-15000</f>
        <v>45000</v>
      </c>
      <c r="D205" s="14">
        <v>0</v>
      </c>
      <c r="E205" s="15"/>
    </row>
    <row r="206" spans="1:5" ht="18">
      <c r="A206" s="13"/>
      <c r="B206" s="8"/>
      <c r="C206" s="14">
        <v>0</v>
      </c>
      <c r="D206" s="14"/>
      <c r="E206" s="15"/>
    </row>
    <row r="207" spans="1:5" ht="18">
      <c r="A207" s="9" t="s">
        <v>96</v>
      </c>
      <c r="B207" s="10" t="s">
        <v>97</v>
      </c>
      <c r="C207" s="11">
        <f>C209+C213+5061200+137077</f>
        <v>5957887</v>
      </c>
      <c r="D207" s="11">
        <f>D209+D213+3222300</f>
        <v>3328357.7</v>
      </c>
      <c r="E207" s="12">
        <f>D207*100/C207</f>
        <v>55.86473358759574</v>
      </c>
    </row>
    <row r="208" spans="1:5" ht="20.25" customHeight="1">
      <c r="A208" s="16"/>
      <c r="B208" s="17"/>
      <c r="C208" s="18"/>
      <c r="D208" s="18"/>
      <c r="E208" s="40"/>
    </row>
    <row r="209" spans="1:5" ht="21" customHeight="1">
      <c r="A209" s="16" t="s">
        <v>164</v>
      </c>
      <c r="B209" s="17" t="s">
        <v>165</v>
      </c>
      <c r="C209" s="18">
        <f>SUM(C210:C211)</f>
        <v>339610</v>
      </c>
      <c r="D209" s="18">
        <f>SUM(D210:D211)</f>
        <v>89607.7</v>
      </c>
      <c r="E209" s="78">
        <f>D209*100/C209</f>
        <v>26.385471570330672</v>
      </c>
    </row>
    <row r="210" spans="1:5" ht="21" customHeight="1">
      <c r="A210" s="59" t="s">
        <v>265</v>
      </c>
      <c r="B210" s="60" t="s">
        <v>210</v>
      </c>
      <c r="C210" s="41">
        <v>29610</v>
      </c>
      <c r="D210" s="41">
        <v>29610</v>
      </c>
      <c r="E210" s="78"/>
    </row>
    <row r="211" spans="1:5" ht="15.75" customHeight="1">
      <c r="A211" s="59" t="s">
        <v>89</v>
      </c>
      <c r="B211" s="8" t="s">
        <v>98</v>
      </c>
      <c r="C211" s="41">
        <v>310000</v>
      </c>
      <c r="D211" s="41">
        <v>59997.7</v>
      </c>
      <c r="E211" s="78"/>
    </row>
    <row r="212" spans="1:5" ht="15.75" customHeight="1">
      <c r="A212" s="59"/>
      <c r="B212" s="8"/>
      <c r="C212" s="41"/>
      <c r="D212" s="41"/>
      <c r="E212" s="78"/>
    </row>
    <row r="213" spans="1:5" ht="15.75" customHeight="1">
      <c r="A213" s="16" t="s">
        <v>246</v>
      </c>
      <c r="B213" s="17" t="s">
        <v>247</v>
      </c>
      <c r="C213" s="18">
        <f>SUM(C214:C214)</f>
        <v>420000</v>
      </c>
      <c r="D213" s="18">
        <f>SUM(D214:D214)</f>
        <v>16450</v>
      </c>
      <c r="E213" s="78">
        <f>D213*100/C213</f>
        <v>3.9166666666666665</v>
      </c>
    </row>
    <row r="214" spans="1:5" ht="15.75" customHeight="1">
      <c r="A214" s="59" t="s">
        <v>89</v>
      </c>
      <c r="B214" s="8" t="s">
        <v>98</v>
      </c>
      <c r="C214" s="41">
        <v>420000</v>
      </c>
      <c r="D214" s="41">
        <v>16450</v>
      </c>
      <c r="E214" s="78"/>
    </row>
    <row r="215" spans="1:5" ht="18">
      <c r="A215" s="13"/>
      <c r="B215" s="7"/>
      <c r="C215" s="21"/>
      <c r="D215" s="21"/>
      <c r="E215" s="22"/>
    </row>
    <row r="216" spans="1:5" ht="0.75" customHeight="1">
      <c r="A216" s="77" t="s">
        <v>170</v>
      </c>
      <c r="B216" s="17" t="s">
        <v>15</v>
      </c>
      <c r="C216" s="18">
        <f>SUM(C217:C218)</f>
        <v>0</v>
      </c>
      <c r="D216" s="18">
        <f>SUM(D217:D218)</f>
        <v>0</v>
      </c>
      <c r="E216" s="52" t="e">
        <f>D216*100/C216</f>
        <v>#DIV/0!</v>
      </c>
    </row>
    <row r="217" spans="1:5" ht="18" hidden="1">
      <c r="A217" s="13" t="s">
        <v>62</v>
      </c>
      <c r="B217" s="8" t="s">
        <v>63</v>
      </c>
      <c r="C217" s="14"/>
      <c r="D217" s="14"/>
      <c r="E217" s="52"/>
    </row>
    <row r="218" spans="1:5" ht="18" hidden="1">
      <c r="A218" s="20" t="s">
        <v>32</v>
      </c>
      <c r="B218" s="7" t="s">
        <v>33</v>
      </c>
      <c r="C218" s="21"/>
      <c r="D218" s="21"/>
      <c r="E218" s="53"/>
    </row>
    <row r="219" spans="1:5" ht="18">
      <c r="A219" s="43" t="s">
        <v>99</v>
      </c>
      <c r="B219" s="17" t="s">
        <v>100</v>
      </c>
      <c r="C219" s="46">
        <f>SUM(C226+C236+C221)</f>
        <v>50000</v>
      </c>
      <c r="D219" s="46">
        <f>SUM(D226+D236+D221)</f>
        <v>18697.47</v>
      </c>
      <c r="E219" s="40">
        <f>D219*100/C219</f>
        <v>37.39494</v>
      </c>
    </row>
    <row r="220" spans="1:5" ht="18">
      <c r="A220" s="43"/>
      <c r="B220" s="17"/>
      <c r="C220" s="46"/>
      <c r="D220" s="18"/>
      <c r="E220" s="40"/>
    </row>
    <row r="221" spans="1:5" ht="18">
      <c r="A221" s="43" t="s">
        <v>181</v>
      </c>
      <c r="B221" s="17" t="s">
        <v>182</v>
      </c>
      <c r="C221" s="46">
        <f>SUM(C222:C224)</f>
        <v>3000</v>
      </c>
      <c r="D221" s="46">
        <f>SUM(D222:D224)</f>
        <v>0</v>
      </c>
      <c r="E221" s="52">
        <f>D221*100/C221</f>
        <v>0</v>
      </c>
    </row>
    <row r="222" spans="1:5" ht="18">
      <c r="A222" s="44" t="s">
        <v>32</v>
      </c>
      <c r="B222" s="8" t="s">
        <v>33</v>
      </c>
      <c r="C222" s="47">
        <v>1000</v>
      </c>
      <c r="D222" s="14">
        <v>0</v>
      </c>
      <c r="E222" s="40"/>
    </row>
    <row r="223" spans="1:5" ht="18">
      <c r="A223" s="44" t="s">
        <v>34</v>
      </c>
      <c r="B223" s="8" t="s">
        <v>35</v>
      </c>
      <c r="C223" s="47">
        <v>1000</v>
      </c>
      <c r="D223" s="14">
        <v>0</v>
      </c>
      <c r="E223" s="40"/>
    </row>
    <row r="224" spans="1:5" ht="18">
      <c r="A224" s="44" t="s">
        <v>16</v>
      </c>
      <c r="B224" s="8" t="s">
        <v>17</v>
      </c>
      <c r="C224" s="47">
        <v>1000</v>
      </c>
      <c r="D224" s="14">
        <v>0</v>
      </c>
      <c r="E224" s="40"/>
    </row>
    <row r="225" spans="1:5" ht="18">
      <c r="A225" s="43"/>
      <c r="B225" s="17"/>
      <c r="C225" s="46"/>
      <c r="D225" s="18"/>
      <c r="E225" s="40"/>
    </row>
    <row r="226" spans="1:5" ht="18">
      <c r="A226" s="43" t="s">
        <v>101</v>
      </c>
      <c r="B226" s="17" t="s">
        <v>102</v>
      </c>
      <c r="C226" s="46">
        <f>SUM(C227:C234)</f>
        <v>37500</v>
      </c>
      <c r="D226" s="46">
        <f>SUM(D227:D234)</f>
        <v>9197.47</v>
      </c>
      <c r="E226" s="19">
        <f>D226*100/C226</f>
        <v>24.526586666666663</v>
      </c>
    </row>
    <row r="227" spans="1:5" ht="18">
      <c r="A227" s="44"/>
      <c r="B227" s="8"/>
      <c r="C227" s="47"/>
      <c r="D227" s="14"/>
      <c r="E227" s="15"/>
    </row>
    <row r="228" spans="1:5" ht="18">
      <c r="A228" s="44" t="s">
        <v>32</v>
      </c>
      <c r="B228" s="8" t="s">
        <v>33</v>
      </c>
      <c r="C228" s="47">
        <v>4000</v>
      </c>
      <c r="D228" s="14">
        <v>2080</v>
      </c>
      <c r="E228" s="15"/>
    </row>
    <row r="229" spans="1:5" ht="18">
      <c r="A229" s="44" t="s">
        <v>34</v>
      </c>
      <c r="B229" s="8" t="s">
        <v>35</v>
      </c>
      <c r="C229" s="47">
        <v>10000</v>
      </c>
      <c r="D229" s="14">
        <v>1068.49</v>
      </c>
      <c r="E229" s="15"/>
    </row>
    <row r="230" spans="1:5" ht="18">
      <c r="A230" s="44" t="s">
        <v>44</v>
      </c>
      <c r="B230" s="8" t="s">
        <v>45</v>
      </c>
      <c r="C230" s="47">
        <v>1000</v>
      </c>
      <c r="D230" s="14">
        <v>0</v>
      </c>
      <c r="E230" s="15"/>
    </row>
    <row r="231" spans="1:5" ht="18">
      <c r="A231" s="44" t="s">
        <v>16</v>
      </c>
      <c r="B231" s="8" t="s">
        <v>17</v>
      </c>
      <c r="C231" s="47">
        <v>21900</v>
      </c>
      <c r="D231" s="14">
        <v>5926.26</v>
      </c>
      <c r="E231" s="15"/>
    </row>
    <row r="232" spans="1:5" ht="18">
      <c r="A232" s="44" t="s">
        <v>36</v>
      </c>
      <c r="B232" s="8" t="s">
        <v>37</v>
      </c>
      <c r="C232" s="47">
        <v>200</v>
      </c>
      <c r="D232" s="14">
        <v>72.72</v>
      </c>
      <c r="E232" s="15"/>
    </row>
    <row r="233" spans="1:5" ht="18">
      <c r="A233" s="44" t="s">
        <v>223</v>
      </c>
      <c r="B233" s="4" t="s">
        <v>224</v>
      </c>
      <c r="C233" s="14">
        <v>400</v>
      </c>
      <c r="D233" s="14">
        <v>50</v>
      </c>
      <c r="E233" s="15"/>
    </row>
    <row r="234" spans="1:5" ht="18">
      <c r="A234" s="44"/>
      <c r="B234" s="4" t="s">
        <v>225</v>
      </c>
      <c r="C234" s="14"/>
      <c r="D234" s="14"/>
      <c r="E234" s="15"/>
    </row>
    <row r="235" spans="1:5" ht="18">
      <c r="A235" s="44"/>
      <c r="B235" s="8"/>
      <c r="C235" s="47"/>
      <c r="D235" s="14"/>
      <c r="E235" s="15"/>
    </row>
    <row r="236" spans="1:5" ht="18">
      <c r="A236" s="43" t="s">
        <v>103</v>
      </c>
      <c r="B236" s="17" t="s">
        <v>15</v>
      </c>
      <c r="C236" s="46">
        <f>SUM(C237+C240)</f>
        <v>9500</v>
      </c>
      <c r="D236" s="46">
        <f>SUM(D237+D240)</f>
        <v>9500</v>
      </c>
      <c r="E236" s="19">
        <f>D236*100/C236</f>
        <v>100</v>
      </c>
    </row>
    <row r="237" spans="1:5" ht="18">
      <c r="A237" s="44" t="s">
        <v>104</v>
      </c>
      <c r="B237" s="8" t="s">
        <v>105</v>
      </c>
      <c r="C237" s="47">
        <v>9500</v>
      </c>
      <c r="D237" s="14">
        <v>9500</v>
      </c>
      <c r="E237" s="15"/>
    </row>
    <row r="238" spans="1:5" ht="18">
      <c r="A238" s="44"/>
      <c r="B238" s="8" t="s">
        <v>106</v>
      </c>
      <c r="C238" s="47"/>
      <c r="D238" s="14"/>
      <c r="E238" s="15"/>
    </row>
    <row r="239" spans="1:5" ht="18">
      <c r="A239" s="44"/>
      <c r="B239" s="8" t="s">
        <v>107</v>
      </c>
      <c r="C239" s="47"/>
      <c r="D239" s="14"/>
      <c r="E239" s="15"/>
    </row>
    <row r="240" spans="1:5" ht="18" hidden="1">
      <c r="A240" s="44" t="s">
        <v>89</v>
      </c>
      <c r="B240" s="8" t="s">
        <v>98</v>
      </c>
      <c r="C240" s="47">
        <v>0</v>
      </c>
      <c r="D240" s="14">
        <v>0</v>
      </c>
      <c r="E240" s="15"/>
    </row>
    <row r="241" spans="1:5" ht="18">
      <c r="A241" s="45"/>
      <c r="B241" s="7"/>
      <c r="C241" s="48"/>
      <c r="D241" s="21"/>
      <c r="E241" s="22"/>
    </row>
    <row r="242" spans="1:5" ht="18">
      <c r="A242" s="9" t="s">
        <v>108</v>
      </c>
      <c r="B242" s="17" t="s">
        <v>109</v>
      </c>
      <c r="C242" s="11">
        <f>C244+C248+C259+C262+C268+C271+C274</f>
        <v>3470532</v>
      </c>
      <c r="D242" s="11">
        <f>D244+D248+D259+D262+D268+D271+D274</f>
        <v>2174137.02</v>
      </c>
      <c r="E242" s="12">
        <f>D242*100/C242</f>
        <v>62.64564107174347</v>
      </c>
    </row>
    <row r="243" spans="1:5" ht="18">
      <c r="A243" s="13"/>
      <c r="B243" s="8"/>
      <c r="C243" s="14"/>
      <c r="D243" s="14"/>
      <c r="E243" s="15"/>
    </row>
    <row r="244" spans="1:5" ht="18">
      <c r="A244" s="16" t="s">
        <v>269</v>
      </c>
      <c r="B244" s="17" t="s">
        <v>270</v>
      </c>
      <c r="C244" s="18">
        <f>SUM(C245)</f>
        <v>520902</v>
      </c>
      <c r="D244" s="18">
        <f>SUM(D245)</f>
        <v>251568.04</v>
      </c>
      <c r="E244" s="19">
        <f>D244*100/C244</f>
        <v>48.29469650721249</v>
      </c>
    </row>
    <row r="245" spans="1:5" ht="18">
      <c r="A245" s="13"/>
      <c r="B245" s="8"/>
      <c r="C245" s="14">
        <f>642700-100000-20000-1548-250</f>
        <v>520902</v>
      </c>
      <c r="D245" s="14">
        <v>251568.04</v>
      </c>
      <c r="E245" s="15"/>
    </row>
    <row r="246" spans="1:5" ht="18">
      <c r="A246" s="13"/>
      <c r="B246" s="8"/>
      <c r="C246" s="14"/>
      <c r="D246" s="14"/>
      <c r="E246" s="15"/>
    </row>
    <row r="247" spans="1:5" ht="18">
      <c r="A247" s="13"/>
      <c r="B247" s="8"/>
      <c r="C247" s="14"/>
      <c r="D247" s="14"/>
      <c r="E247" s="15"/>
    </row>
    <row r="248" spans="1:5" ht="18">
      <c r="A248" s="16" t="s">
        <v>112</v>
      </c>
      <c r="B248" s="17" t="s">
        <v>113</v>
      </c>
      <c r="C248" s="18">
        <f>SUM(C251:C257)</f>
        <v>2200050</v>
      </c>
      <c r="D248" s="18">
        <f>SUM(D251:D257)</f>
        <v>1421663.98</v>
      </c>
      <c r="E248" s="19">
        <f>D248*100/C248</f>
        <v>64.61962137224154</v>
      </c>
    </row>
    <row r="249" spans="1:5" ht="18">
      <c r="A249" s="13"/>
      <c r="B249" s="17" t="s">
        <v>114</v>
      </c>
      <c r="C249" s="14"/>
      <c r="D249" s="14"/>
      <c r="E249" s="15"/>
    </row>
    <row r="250" spans="1:5" ht="18">
      <c r="A250" s="13"/>
      <c r="B250" s="17" t="s">
        <v>115</v>
      </c>
      <c r="C250" s="14"/>
      <c r="D250" s="14"/>
      <c r="E250" s="15"/>
    </row>
    <row r="251" spans="1:5" ht="18">
      <c r="A251" s="13" t="s">
        <v>271</v>
      </c>
      <c r="B251" s="60" t="s">
        <v>210</v>
      </c>
      <c r="C251" s="41">
        <f>2179000+9800</f>
        <v>2188800</v>
      </c>
      <c r="D251" s="41">
        <v>1419800</v>
      </c>
      <c r="E251" s="15"/>
    </row>
    <row r="252" spans="1:5" ht="18">
      <c r="A252" s="13" t="s">
        <v>289</v>
      </c>
      <c r="B252" s="60" t="s">
        <v>210</v>
      </c>
      <c r="C252" s="41">
        <v>7550</v>
      </c>
      <c r="D252" s="41"/>
      <c r="E252" s="15"/>
    </row>
    <row r="253" spans="1:5" ht="18">
      <c r="A253" s="13" t="s">
        <v>234</v>
      </c>
      <c r="B253" s="60" t="s">
        <v>235</v>
      </c>
      <c r="C253" s="41">
        <f>1452+1548</f>
        <v>3000</v>
      </c>
      <c r="D253" s="41">
        <v>1582</v>
      </c>
      <c r="E253" s="15"/>
    </row>
    <row r="254" spans="1:5" ht="18">
      <c r="A254" s="13"/>
      <c r="B254" s="60" t="s">
        <v>236</v>
      </c>
      <c r="C254" s="41"/>
      <c r="D254" s="41"/>
      <c r="E254" s="15"/>
    </row>
    <row r="255" spans="1:5" ht="18">
      <c r="A255" s="13" t="s">
        <v>237</v>
      </c>
      <c r="B255" s="60" t="s">
        <v>287</v>
      </c>
      <c r="C255" s="41">
        <f>450+250</f>
        <v>700</v>
      </c>
      <c r="D255" s="41">
        <v>281.98</v>
      </c>
      <c r="E255" s="15"/>
    </row>
    <row r="256" spans="1:5" ht="18">
      <c r="A256" s="13"/>
      <c r="B256" s="60" t="s">
        <v>288</v>
      </c>
      <c r="C256" s="41"/>
      <c r="D256" s="41"/>
      <c r="E256" s="15"/>
    </row>
    <row r="257" spans="1:5" ht="18">
      <c r="A257" s="13"/>
      <c r="B257" s="60"/>
      <c r="C257" s="41"/>
      <c r="D257" s="41"/>
      <c r="E257" s="15"/>
    </row>
    <row r="258" spans="1:5" ht="18">
      <c r="A258" s="13"/>
      <c r="B258" s="4"/>
      <c r="C258" s="14"/>
      <c r="D258" s="14"/>
      <c r="E258" s="15"/>
    </row>
    <row r="259" spans="1:5" ht="18">
      <c r="A259" s="16" t="s">
        <v>118</v>
      </c>
      <c r="B259" s="17" t="s">
        <v>119</v>
      </c>
      <c r="C259" s="18">
        <f>SUM(C260)</f>
        <v>3600</v>
      </c>
      <c r="D259" s="18">
        <f>SUM(D260)</f>
        <v>2500</v>
      </c>
      <c r="E259" s="19">
        <f>D259*100/C259</f>
        <v>69.44444444444444</v>
      </c>
    </row>
    <row r="260" spans="1:5" ht="18">
      <c r="A260" s="13" t="s">
        <v>271</v>
      </c>
      <c r="B260" s="8" t="s">
        <v>210</v>
      </c>
      <c r="C260" s="14">
        <f>5000-1400</f>
        <v>3600</v>
      </c>
      <c r="D260" s="14">
        <v>2500</v>
      </c>
      <c r="E260" s="15"/>
    </row>
    <row r="261" spans="1:5" ht="18">
      <c r="A261" s="13"/>
      <c r="B261" s="8"/>
      <c r="C261" s="14"/>
      <c r="D261" s="14"/>
      <c r="E261" s="15"/>
    </row>
    <row r="262" spans="1:5" ht="18">
      <c r="A262" s="16" t="s">
        <v>121</v>
      </c>
      <c r="B262" s="17" t="s">
        <v>122</v>
      </c>
      <c r="C262" s="18">
        <f>SUM(C264:C266)</f>
        <v>325580</v>
      </c>
      <c r="D262" s="18">
        <f>SUM(D264:D266)</f>
        <v>235880</v>
      </c>
      <c r="E262" s="19">
        <f>D262*100/C262</f>
        <v>72.44916763928988</v>
      </c>
    </row>
    <row r="263" spans="1:5" ht="18">
      <c r="A263" s="13"/>
      <c r="B263" s="17" t="s">
        <v>123</v>
      </c>
      <c r="C263" s="14"/>
      <c r="D263" s="14"/>
      <c r="E263" s="15"/>
    </row>
    <row r="264" spans="1:5" ht="18">
      <c r="A264" s="13" t="s">
        <v>271</v>
      </c>
      <c r="B264" s="8" t="s">
        <v>210</v>
      </c>
      <c r="C264" s="14">
        <v>42200</v>
      </c>
      <c r="D264" s="14">
        <v>28700</v>
      </c>
      <c r="E264" s="15"/>
    </row>
    <row r="265" spans="1:5" ht="18" hidden="1">
      <c r="A265" s="13" t="s">
        <v>34</v>
      </c>
      <c r="B265" s="8" t="s">
        <v>35</v>
      </c>
      <c r="C265" s="14">
        <f>6000-6000</f>
        <v>0</v>
      </c>
      <c r="D265" s="14">
        <v>0</v>
      </c>
      <c r="E265" s="15"/>
    </row>
    <row r="266" spans="1:5" ht="18">
      <c r="A266" s="13" t="s">
        <v>265</v>
      </c>
      <c r="B266" s="8" t="s">
        <v>210</v>
      </c>
      <c r="C266" s="14">
        <f>230000+53380</f>
        <v>283380</v>
      </c>
      <c r="D266" s="14">
        <v>207180</v>
      </c>
      <c r="E266" s="15"/>
    </row>
    <row r="267" spans="1:5" ht="18">
      <c r="A267" s="13"/>
      <c r="B267" s="8"/>
      <c r="C267" s="14"/>
      <c r="D267" s="14"/>
      <c r="E267" s="15"/>
    </row>
    <row r="268" spans="1:5" ht="18">
      <c r="A268" s="16" t="s">
        <v>126</v>
      </c>
      <c r="B268" s="17" t="s">
        <v>127</v>
      </c>
      <c r="C268" s="18">
        <f>SUM(C269:C269)</f>
        <v>75800</v>
      </c>
      <c r="D268" s="18">
        <f>SUM(D269:D269)</f>
        <v>53300</v>
      </c>
      <c r="E268" s="19">
        <f>D268*100/C268</f>
        <v>70.31662269129288</v>
      </c>
    </row>
    <row r="269" spans="1:5" ht="18">
      <c r="A269" s="59" t="s">
        <v>265</v>
      </c>
      <c r="B269" s="60" t="s">
        <v>210</v>
      </c>
      <c r="C269" s="41">
        <v>75800</v>
      </c>
      <c r="D269" s="41">
        <v>53300</v>
      </c>
      <c r="E269" s="19"/>
    </row>
    <row r="270" spans="1:5" ht="18">
      <c r="A270" s="13"/>
      <c r="B270" s="8"/>
      <c r="C270" s="14"/>
      <c r="D270" s="14"/>
      <c r="E270" s="15"/>
    </row>
    <row r="271" spans="1:5" ht="18">
      <c r="A271" s="16" t="s">
        <v>131</v>
      </c>
      <c r="B271" s="17" t="s">
        <v>15</v>
      </c>
      <c r="C271" s="18">
        <f>SUM(C272)</f>
        <v>249600</v>
      </c>
      <c r="D271" s="18">
        <f>SUM(D272)</f>
        <v>186600</v>
      </c>
      <c r="E271" s="19">
        <f>D271*100/C271</f>
        <v>74.75961538461539</v>
      </c>
    </row>
    <row r="272" spans="1:5" ht="18">
      <c r="A272" s="13" t="s">
        <v>265</v>
      </c>
      <c r="B272" s="8" t="s">
        <v>210</v>
      </c>
      <c r="C272" s="14">
        <f>186600+63000</f>
        <v>249600</v>
      </c>
      <c r="D272" s="14">
        <v>186600</v>
      </c>
      <c r="E272" s="15"/>
    </row>
    <row r="273" spans="1:5" ht="18">
      <c r="A273" s="13"/>
      <c r="B273" s="8"/>
      <c r="C273" s="14"/>
      <c r="D273" s="14"/>
      <c r="E273" s="15"/>
    </row>
    <row r="274" spans="1:5" ht="18">
      <c r="A274" s="16" t="s">
        <v>131</v>
      </c>
      <c r="B274" s="17" t="s">
        <v>274</v>
      </c>
      <c r="C274" s="18">
        <f>SUM(C275:C279)</f>
        <v>95000</v>
      </c>
      <c r="D274" s="18">
        <f>SUM(D275:D279)</f>
        <v>22625</v>
      </c>
      <c r="E274" s="19">
        <f>D274*100/C274</f>
        <v>23.81578947368421</v>
      </c>
    </row>
    <row r="275" spans="1:5" ht="18">
      <c r="A275" s="13" t="s">
        <v>275</v>
      </c>
      <c r="B275" s="8" t="s">
        <v>27</v>
      </c>
      <c r="C275" s="14">
        <v>1000</v>
      </c>
      <c r="D275" s="14"/>
      <c r="E275" s="15"/>
    </row>
    <row r="276" spans="1:5" ht="18">
      <c r="A276" s="13" t="s">
        <v>276</v>
      </c>
      <c r="B276" s="8" t="s">
        <v>29</v>
      </c>
      <c r="C276" s="14">
        <v>1000</v>
      </c>
      <c r="D276" s="14"/>
      <c r="E276" s="15"/>
    </row>
    <row r="277" spans="1:5" ht="18">
      <c r="A277" s="13" t="s">
        <v>277</v>
      </c>
      <c r="B277" s="8" t="s">
        <v>33</v>
      </c>
      <c r="C277" s="14">
        <v>1000</v>
      </c>
      <c r="D277" s="14"/>
      <c r="E277" s="15"/>
    </row>
    <row r="278" spans="1:5" ht="18">
      <c r="A278" s="13" t="s">
        <v>278</v>
      </c>
      <c r="B278" s="8" t="s">
        <v>35</v>
      </c>
      <c r="C278" s="14">
        <v>1000</v>
      </c>
      <c r="D278" s="14"/>
      <c r="E278" s="15"/>
    </row>
    <row r="279" spans="1:5" ht="18">
      <c r="A279" s="13" t="s">
        <v>279</v>
      </c>
      <c r="B279" s="8" t="s">
        <v>17</v>
      </c>
      <c r="C279" s="14">
        <v>91000</v>
      </c>
      <c r="D279" s="14">
        <v>22625</v>
      </c>
      <c r="E279" s="15"/>
    </row>
    <row r="280" spans="1:5" ht="18">
      <c r="A280" s="20"/>
      <c r="B280" s="7"/>
      <c r="C280" s="21"/>
      <c r="D280" s="21"/>
      <c r="E280" s="22"/>
    </row>
    <row r="281" spans="1:5" ht="18">
      <c r="A281" s="9" t="s">
        <v>132</v>
      </c>
      <c r="B281" s="10" t="s">
        <v>133</v>
      </c>
      <c r="C281" s="11">
        <f>SUM(C283+C287)</f>
        <v>111462</v>
      </c>
      <c r="D281" s="11">
        <f>SUM(D283+D287)</f>
        <v>96884.27</v>
      </c>
      <c r="E281" s="12">
        <f>D281*100/C281</f>
        <v>86.92134539125442</v>
      </c>
    </row>
    <row r="282" spans="1:5" ht="18">
      <c r="A282" s="16"/>
      <c r="B282" s="17"/>
      <c r="C282" s="18"/>
      <c r="D282" s="18"/>
      <c r="E282" s="40"/>
    </row>
    <row r="283" spans="1:5" ht="18">
      <c r="A283" s="16" t="s">
        <v>134</v>
      </c>
      <c r="B283" s="17" t="s">
        <v>135</v>
      </c>
      <c r="C283" s="18">
        <f>SUM(C284:C285)</f>
        <v>108962</v>
      </c>
      <c r="D283" s="18">
        <f>SUM(D284:D285)</f>
        <v>94384.27</v>
      </c>
      <c r="E283" s="19">
        <f>D283*100/C283</f>
        <v>86.62127163598319</v>
      </c>
    </row>
    <row r="284" spans="1:5" ht="18">
      <c r="A284" s="13" t="s">
        <v>136</v>
      </c>
      <c r="B284" s="8" t="s">
        <v>137</v>
      </c>
      <c r="C284" s="14">
        <f>8000+98962</f>
        <v>106962</v>
      </c>
      <c r="D284" s="14">
        <v>92704.27</v>
      </c>
      <c r="E284" s="15"/>
    </row>
    <row r="285" spans="1:5" ht="18">
      <c r="A285" s="13" t="s">
        <v>171</v>
      </c>
      <c r="B285" s="8" t="s">
        <v>172</v>
      </c>
      <c r="C285" s="14">
        <v>2000</v>
      </c>
      <c r="D285" s="14">
        <v>1680</v>
      </c>
      <c r="E285" s="15"/>
    </row>
    <row r="286" spans="1:5" ht="18">
      <c r="A286" s="13"/>
      <c r="B286" s="8"/>
      <c r="C286" s="14"/>
      <c r="D286" s="14"/>
      <c r="E286" s="15"/>
    </row>
    <row r="287" spans="1:5" ht="18">
      <c r="A287" s="16" t="s">
        <v>138</v>
      </c>
      <c r="B287" s="17" t="s">
        <v>15</v>
      </c>
      <c r="C287" s="18">
        <f>SUM(C288)</f>
        <v>2500</v>
      </c>
      <c r="D287" s="18">
        <f>SUM(D288)</f>
        <v>2500</v>
      </c>
      <c r="E287" s="19">
        <f>D287*100/C287</f>
        <v>100</v>
      </c>
    </row>
    <row r="288" spans="1:5" ht="18">
      <c r="A288" s="13" t="s">
        <v>104</v>
      </c>
      <c r="B288" s="8" t="s">
        <v>105</v>
      </c>
      <c r="C288" s="14">
        <v>2500</v>
      </c>
      <c r="D288" s="14">
        <v>2500</v>
      </c>
      <c r="E288" s="15"/>
    </row>
    <row r="289" spans="1:5" ht="18">
      <c r="A289" s="13"/>
      <c r="B289" s="8" t="s">
        <v>106</v>
      </c>
      <c r="C289" s="14"/>
      <c r="D289" s="14"/>
      <c r="E289" s="15"/>
    </row>
    <row r="290" spans="1:5" ht="18">
      <c r="A290" s="13"/>
      <c r="B290" s="8" t="s">
        <v>107</v>
      </c>
      <c r="C290" s="14"/>
      <c r="D290" s="14"/>
      <c r="E290" s="22"/>
    </row>
    <row r="291" spans="1:5" ht="18">
      <c r="A291" s="9" t="s">
        <v>139</v>
      </c>
      <c r="B291" s="10" t="s">
        <v>140</v>
      </c>
      <c r="C291" s="11">
        <f>SUM(C307+C312+C321+C294+C299+C316+C303)</f>
        <v>513261</v>
      </c>
      <c r="D291" s="11">
        <f>SUM(D307+D312+D321+D294+D299+D316+D303)</f>
        <v>182112.54000000004</v>
      </c>
      <c r="E291" s="51">
        <f>D291*100/C291</f>
        <v>35.48146849263826</v>
      </c>
    </row>
    <row r="292" spans="1:5" ht="18">
      <c r="A292" s="13"/>
      <c r="B292" s="8"/>
      <c r="C292" s="14"/>
      <c r="D292" s="14"/>
      <c r="E292" s="26"/>
    </row>
    <row r="293" spans="1:5" ht="18">
      <c r="A293" s="13"/>
      <c r="B293" s="8"/>
      <c r="C293" s="14"/>
      <c r="D293" s="14"/>
      <c r="E293" s="26"/>
    </row>
    <row r="294" spans="1:5" ht="18">
      <c r="A294" s="16" t="s">
        <v>186</v>
      </c>
      <c r="B294" s="17" t="s">
        <v>187</v>
      </c>
      <c r="C294" s="18">
        <f>SUM(C295:C297)</f>
        <v>15000</v>
      </c>
      <c r="D294" s="18">
        <f>SUM(D295:D297)</f>
        <v>10155</v>
      </c>
      <c r="E294" s="52">
        <f>D294*100/C294</f>
        <v>67.7</v>
      </c>
    </row>
    <row r="295" spans="1:5" ht="18">
      <c r="A295" s="13"/>
      <c r="B295" s="8"/>
      <c r="C295" s="14"/>
      <c r="D295" s="14"/>
      <c r="E295" s="52"/>
    </row>
    <row r="296" spans="1:5" ht="18">
      <c r="A296" s="13" t="s">
        <v>34</v>
      </c>
      <c r="B296" s="8" t="s">
        <v>35</v>
      </c>
      <c r="C296" s="14">
        <v>3000</v>
      </c>
      <c r="D296" s="14">
        <v>632</v>
      </c>
      <c r="E296" s="52"/>
    </row>
    <row r="297" spans="1:5" ht="18">
      <c r="A297" s="13" t="s">
        <v>16</v>
      </c>
      <c r="B297" s="8" t="s">
        <v>17</v>
      </c>
      <c r="C297" s="14">
        <v>12000</v>
      </c>
      <c r="D297" s="14">
        <v>9523</v>
      </c>
      <c r="E297" s="26"/>
    </row>
    <row r="298" spans="1:5" ht="18">
      <c r="A298" s="13"/>
      <c r="B298" s="8"/>
      <c r="C298" s="14"/>
      <c r="D298" s="14"/>
      <c r="E298" s="26"/>
    </row>
    <row r="299" spans="1:5" ht="18">
      <c r="A299" s="16" t="s">
        <v>188</v>
      </c>
      <c r="B299" s="17" t="s">
        <v>189</v>
      </c>
      <c r="C299" s="18">
        <f>SUM(C300:C301)</f>
        <v>4500</v>
      </c>
      <c r="D299" s="18">
        <f>SUM(D300:D301)</f>
        <v>2110.14</v>
      </c>
      <c r="E299" s="52">
        <f>D299*100/C299</f>
        <v>46.892</v>
      </c>
    </row>
    <row r="300" spans="1:5" ht="18">
      <c r="A300" s="13" t="s">
        <v>34</v>
      </c>
      <c r="B300" s="8" t="s">
        <v>35</v>
      </c>
      <c r="C300" s="14">
        <v>2000</v>
      </c>
      <c r="D300" s="14">
        <v>402.14</v>
      </c>
      <c r="E300" s="52"/>
    </row>
    <row r="301" spans="1:5" ht="18">
      <c r="A301" s="13" t="s">
        <v>16</v>
      </c>
      <c r="B301" s="8" t="s">
        <v>17</v>
      </c>
      <c r="C301" s="14">
        <f>1000+1500</f>
        <v>2500</v>
      </c>
      <c r="D301" s="14">
        <v>1708</v>
      </c>
      <c r="E301" s="26"/>
    </row>
    <row r="302" spans="1:5" ht="18">
      <c r="A302" s="13"/>
      <c r="B302" s="8"/>
      <c r="C302" s="14"/>
      <c r="D302" s="14"/>
      <c r="E302" s="26"/>
    </row>
    <row r="303" spans="1:5" ht="18">
      <c r="A303" s="16" t="s">
        <v>229</v>
      </c>
      <c r="B303" s="17" t="s">
        <v>230</v>
      </c>
      <c r="C303" s="18">
        <f>SUM(C304)</f>
        <v>1000</v>
      </c>
      <c r="D303" s="18">
        <f>SUM(D304)</f>
        <v>767.76</v>
      </c>
      <c r="E303" s="52">
        <f>D303*100/C303</f>
        <v>76.776</v>
      </c>
    </row>
    <row r="304" spans="1:5" ht="18">
      <c r="A304" s="13" t="s">
        <v>16</v>
      </c>
      <c r="B304" s="8" t="s">
        <v>17</v>
      </c>
      <c r="C304" s="14">
        <v>1000</v>
      </c>
      <c r="D304" s="14">
        <v>767.76</v>
      </c>
      <c r="E304" s="52"/>
    </row>
    <row r="305" spans="1:5" ht="18">
      <c r="A305" s="13"/>
      <c r="B305" s="8"/>
      <c r="C305" s="14"/>
      <c r="D305" s="14"/>
      <c r="E305" s="52"/>
    </row>
    <row r="306" spans="1:5" ht="18">
      <c r="A306" s="13"/>
      <c r="B306" s="8"/>
      <c r="C306" s="14"/>
      <c r="D306" s="14"/>
      <c r="E306" s="52"/>
    </row>
    <row r="307" spans="1:5" ht="18">
      <c r="A307" s="16" t="s">
        <v>141</v>
      </c>
      <c r="B307" s="17" t="s">
        <v>142</v>
      </c>
      <c r="C307" s="18">
        <f>SUM(C308:C310)</f>
        <v>245297</v>
      </c>
      <c r="D307" s="18">
        <f>SUM(D308:D310)</f>
        <v>64916.28</v>
      </c>
      <c r="E307" s="52">
        <f>D307*100/C307</f>
        <v>26.464359531506705</v>
      </c>
    </row>
    <row r="308" spans="1:5" ht="18">
      <c r="A308" s="13" t="s">
        <v>68</v>
      </c>
      <c r="B308" s="8" t="s">
        <v>69</v>
      </c>
      <c r="C308" s="14">
        <f>118997-3500</f>
        <v>115497</v>
      </c>
      <c r="D308" s="14">
        <v>49472.6</v>
      </c>
      <c r="E308" s="26"/>
    </row>
    <row r="309" spans="1:5" ht="18">
      <c r="A309" s="13" t="s">
        <v>16</v>
      </c>
      <c r="B309" s="8" t="s">
        <v>17</v>
      </c>
      <c r="C309" s="14">
        <v>25000</v>
      </c>
      <c r="D309" s="14">
        <v>15313.75</v>
      </c>
      <c r="E309" s="26"/>
    </row>
    <row r="310" spans="1:5" ht="18">
      <c r="A310" s="13" t="s">
        <v>89</v>
      </c>
      <c r="B310" s="8" t="s">
        <v>98</v>
      </c>
      <c r="C310" s="14">
        <v>104800</v>
      </c>
      <c r="D310" s="14">
        <v>129.93</v>
      </c>
      <c r="E310" s="26"/>
    </row>
    <row r="311" spans="1:5" ht="18">
      <c r="A311" s="16"/>
      <c r="B311" s="17"/>
      <c r="C311" s="18"/>
      <c r="D311" s="18"/>
      <c r="E311" s="26"/>
    </row>
    <row r="312" spans="1:5" ht="18">
      <c r="A312" s="16" t="s">
        <v>143</v>
      </c>
      <c r="B312" s="17" t="s">
        <v>144</v>
      </c>
      <c r="C312" s="18">
        <f>SUM(C313)</f>
        <v>100634</v>
      </c>
      <c r="D312" s="18">
        <f>SUM(D313)</f>
        <v>67089</v>
      </c>
      <c r="E312" s="52">
        <f>D312*100/C312</f>
        <v>66.66633543335254</v>
      </c>
    </row>
    <row r="313" spans="1:5" ht="18">
      <c r="A313" s="13" t="s">
        <v>145</v>
      </c>
      <c r="B313" s="8" t="s">
        <v>146</v>
      </c>
      <c r="C313" s="14">
        <v>100634</v>
      </c>
      <c r="D313" s="14">
        <v>67089</v>
      </c>
      <c r="E313" s="26"/>
    </row>
    <row r="314" spans="1:5" ht="18">
      <c r="A314" s="13"/>
      <c r="B314" s="8" t="s">
        <v>147</v>
      </c>
      <c r="C314" s="14"/>
      <c r="D314" s="14"/>
      <c r="E314" s="26"/>
    </row>
    <row r="315" spans="1:5" ht="18">
      <c r="A315" s="13"/>
      <c r="B315" s="8"/>
      <c r="C315" s="14"/>
      <c r="D315" s="14"/>
      <c r="E315" s="26"/>
    </row>
    <row r="316" spans="1:5" ht="18">
      <c r="A316" s="16" t="s">
        <v>190</v>
      </c>
      <c r="B316" s="17" t="s">
        <v>191</v>
      </c>
      <c r="C316" s="18">
        <f>SUM(C318:C319)</f>
        <v>1500</v>
      </c>
      <c r="D316" s="18">
        <f>SUM(D318:D319)</f>
        <v>0</v>
      </c>
      <c r="E316" s="52">
        <f>D316*100/C316</f>
        <v>0</v>
      </c>
    </row>
    <row r="317" spans="1:5" ht="18">
      <c r="A317" s="13"/>
      <c r="B317" s="17" t="s">
        <v>192</v>
      </c>
      <c r="C317" s="14"/>
      <c r="D317" s="14"/>
      <c r="E317" s="26"/>
    </row>
    <row r="318" spans="1:5" ht="18">
      <c r="A318" s="13" t="s">
        <v>34</v>
      </c>
      <c r="B318" s="8" t="s">
        <v>35</v>
      </c>
      <c r="C318" s="14">
        <v>1300</v>
      </c>
      <c r="D318" s="14">
        <v>0</v>
      </c>
      <c r="E318" s="26"/>
    </row>
    <row r="319" spans="1:5" ht="18">
      <c r="A319" s="13" t="s">
        <v>16</v>
      </c>
      <c r="B319" s="8" t="s">
        <v>17</v>
      </c>
      <c r="C319" s="14">
        <v>200</v>
      </c>
      <c r="D319" s="14">
        <v>0</v>
      </c>
      <c r="E319" s="26"/>
    </row>
    <row r="320" spans="1:5" ht="18">
      <c r="A320" s="13"/>
      <c r="B320" s="8"/>
      <c r="C320" s="14"/>
      <c r="D320" s="14"/>
      <c r="E320" s="26"/>
    </row>
    <row r="321" spans="1:5" ht="18">
      <c r="A321" s="16" t="s">
        <v>148</v>
      </c>
      <c r="B321" s="17" t="s">
        <v>15</v>
      </c>
      <c r="C321" s="18">
        <f>SUM(C322:C330)</f>
        <v>145330</v>
      </c>
      <c r="D321" s="18">
        <f>SUM(D322:D330)</f>
        <v>37074.36</v>
      </c>
      <c r="E321" s="52">
        <f>D321*100/C321</f>
        <v>25.510465836372394</v>
      </c>
    </row>
    <row r="322" spans="1:5" ht="18">
      <c r="A322" s="13" t="s">
        <v>26</v>
      </c>
      <c r="B322" s="8" t="s">
        <v>27</v>
      </c>
      <c r="C322" s="14">
        <v>1000</v>
      </c>
      <c r="D322" s="14">
        <v>0</v>
      </c>
      <c r="E322" s="52"/>
    </row>
    <row r="323" spans="1:5" ht="18">
      <c r="A323" s="13" t="s">
        <v>28</v>
      </c>
      <c r="B323" s="8" t="s">
        <v>29</v>
      </c>
      <c r="C323" s="14">
        <v>500</v>
      </c>
      <c r="D323" s="14">
        <v>0</v>
      </c>
      <c r="E323" s="52"/>
    </row>
    <row r="324" spans="1:5" ht="18">
      <c r="A324" s="13" t="s">
        <v>32</v>
      </c>
      <c r="B324" s="8" t="s">
        <v>33</v>
      </c>
      <c r="C324" s="14">
        <v>18500</v>
      </c>
      <c r="D324" s="14">
        <v>3900</v>
      </c>
      <c r="E324" s="26"/>
    </row>
    <row r="325" spans="1:5" ht="18">
      <c r="A325" s="13" t="s">
        <v>34</v>
      </c>
      <c r="B325" s="8" t="s">
        <v>35</v>
      </c>
      <c r="C325" s="14">
        <f>7000-2640</f>
        <v>4360</v>
      </c>
      <c r="D325" s="14">
        <v>1104.21</v>
      </c>
      <c r="E325" s="26"/>
    </row>
    <row r="326" spans="1:5" ht="18">
      <c r="A326" s="13" t="s">
        <v>68</v>
      </c>
      <c r="B326" s="8" t="s">
        <v>69</v>
      </c>
      <c r="C326" s="14">
        <f>5000+2000</f>
        <v>7000</v>
      </c>
      <c r="D326" s="14">
        <v>4620.15</v>
      </c>
      <c r="E326" s="26"/>
    </row>
    <row r="327" spans="1:5" ht="18">
      <c r="A327" s="13" t="s">
        <v>44</v>
      </c>
      <c r="B327" s="8" t="s">
        <v>45</v>
      </c>
      <c r="C327" s="14">
        <f>9000+5640</f>
        <v>14640</v>
      </c>
      <c r="D327" s="14">
        <v>0</v>
      </c>
      <c r="E327" s="26"/>
    </row>
    <row r="328" spans="1:5" ht="18">
      <c r="A328" s="13" t="s">
        <v>16</v>
      </c>
      <c r="B328" s="8" t="s">
        <v>17</v>
      </c>
      <c r="C328" s="14">
        <f>9000-3000</f>
        <v>6000</v>
      </c>
      <c r="D328" s="14">
        <v>0</v>
      </c>
      <c r="E328" s="26"/>
    </row>
    <row r="329" spans="1:5" ht="18">
      <c r="A329" s="13" t="s">
        <v>89</v>
      </c>
      <c r="B329" s="8" t="s">
        <v>98</v>
      </c>
      <c r="C329" s="14">
        <v>93330</v>
      </c>
      <c r="D329" s="14">
        <v>27450</v>
      </c>
      <c r="E329" s="26"/>
    </row>
    <row r="330" spans="1:5" ht="18">
      <c r="A330" s="20"/>
      <c r="B330" s="7"/>
      <c r="C330" s="21"/>
      <c r="D330" s="21"/>
      <c r="E330" s="53"/>
    </row>
    <row r="331" spans="1:5" ht="18">
      <c r="A331" s="16" t="s">
        <v>149</v>
      </c>
      <c r="B331" s="17" t="s">
        <v>150</v>
      </c>
      <c r="C331" s="18">
        <f>SUM(C333+C340+C344)</f>
        <v>1398267</v>
      </c>
      <c r="D331" s="18">
        <f>SUM(D333+D340+D344)</f>
        <v>641561.24</v>
      </c>
      <c r="E331" s="12">
        <f>D331*100/C331</f>
        <v>45.88259895999834</v>
      </c>
    </row>
    <row r="332" spans="1:5" ht="18">
      <c r="A332" s="13"/>
      <c r="B332" s="8"/>
      <c r="C332" s="14"/>
      <c r="D332" s="14"/>
      <c r="E332" s="15"/>
    </row>
    <row r="333" spans="1:5" ht="18">
      <c r="A333" s="16" t="s">
        <v>151</v>
      </c>
      <c r="B333" s="17" t="s">
        <v>152</v>
      </c>
      <c r="C333" s="18">
        <f>SUM(C334:C338)</f>
        <v>1122267</v>
      </c>
      <c r="D333" s="18">
        <f>SUM(D334:D338)</f>
        <v>467561.24</v>
      </c>
      <c r="E333" s="19">
        <f>D333*100/C333</f>
        <v>41.662210507838154</v>
      </c>
    </row>
    <row r="334" spans="1:5" ht="18">
      <c r="A334" s="13" t="s">
        <v>153</v>
      </c>
      <c r="B334" s="8" t="s">
        <v>154</v>
      </c>
      <c r="C334" s="14">
        <v>273500</v>
      </c>
      <c r="D334" s="14">
        <v>182400</v>
      </c>
      <c r="E334" s="15"/>
    </row>
    <row r="335" spans="1:5" ht="18">
      <c r="A335" s="13"/>
      <c r="B335" s="8" t="s">
        <v>155</v>
      </c>
      <c r="C335" s="14"/>
      <c r="D335" s="14"/>
      <c r="E335" s="15"/>
    </row>
    <row r="336" spans="1:5" ht="18">
      <c r="A336" s="13" t="s">
        <v>89</v>
      </c>
      <c r="B336" s="8" t="s">
        <v>98</v>
      </c>
      <c r="C336" s="14">
        <f>848767-230000</f>
        <v>618767</v>
      </c>
      <c r="D336" s="14">
        <v>86409.64</v>
      </c>
      <c r="E336" s="15"/>
    </row>
    <row r="337" spans="1:5" ht="18">
      <c r="A337" s="13" t="s">
        <v>202</v>
      </c>
      <c r="B337" s="8" t="s">
        <v>98</v>
      </c>
      <c r="C337" s="14">
        <v>124700</v>
      </c>
      <c r="D337" s="14">
        <v>124700</v>
      </c>
      <c r="E337" s="15"/>
    </row>
    <row r="338" spans="1:5" ht="18">
      <c r="A338" s="13" t="s">
        <v>203</v>
      </c>
      <c r="B338" s="8" t="s">
        <v>98</v>
      </c>
      <c r="C338" s="14">
        <v>105300</v>
      </c>
      <c r="D338" s="14">
        <v>74051.6</v>
      </c>
      <c r="E338" s="15"/>
    </row>
    <row r="339" spans="1:5" ht="18">
      <c r="A339" s="16"/>
      <c r="B339" s="17"/>
      <c r="C339" s="18"/>
      <c r="D339" s="18"/>
      <c r="E339" s="15"/>
    </row>
    <row r="340" spans="1:5" ht="18">
      <c r="A340" s="16" t="s">
        <v>156</v>
      </c>
      <c r="B340" s="17" t="s">
        <v>157</v>
      </c>
      <c r="C340" s="18">
        <f>SUM(C341)</f>
        <v>186000</v>
      </c>
      <c r="D340" s="18">
        <f>SUM(D341)</f>
        <v>124000</v>
      </c>
      <c r="E340" s="19">
        <f>D340*100/C340</f>
        <v>66.66666666666667</v>
      </c>
    </row>
    <row r="341" spans="1:5" ht="18">
      <c r="A341" s="13" t="s">
        <v>153</v>
      </c>
      <c r="B341" s="8" t="s">
        <v>154</v>
      </c>
      <c r="C341" s="14">
        <v>186000</v>
      </c>
      <c r="D341" s="14">
        <v>124000</v>
      </c>
      <c r="E341" s="15"/>
    </row>
    <row r="342" spans="1:5" ht="18">
      <c r="A342" s="13"/>
      <c r="B342" s="8" t="s">
        <v>158</v>
      </c>
      <c r="C342" s="14"/>
      <c r="D342" s="14"/>
      <c r="E342" s="15"/>
    </row>
    <row r="343" spans="1:5" ht="18">
      <c r="A343" s="13"/>
      <c r="B343" s="8"/>
      <c r="C343" s="14"/>
      <c r="D343" s="14"/>
      <c r="E343" s="15"/>
    </row>
    <row r="344" spans="1:5" ht="18">
      <c r="A344" s="16" t="s">
        <v>193</v>
      </c>
      <c r="B344" s="17" t="s">
        <v>194</v>
      </c>
      <c r="C344" s="18">
        <f>SUM(C345:C349)</f>
        <v>90000</v>
      </c>
      <c r="D344" s="18">
        <f>SUM(D345:D349)</f>
        <v>50000</v>
      </c>
      <c r="E344" s="19">
        <f>D344*100/C344</f>
        <v>55.55555555555556</v>
      </c>
    </row>
    <row r="345" spans="1:5" ht="18">
      <c r="A345" s="59" t="s">
        <v>195</v>
      </c>
      <c r="B345" s="60" t="s">
        <v>263</v>
      </c>
      <c r="C345" s="41">
        <v>70000</v>
      </c>
      <c r="D345" s="41">
        <v>50000</v>
      </c>
      <c r="E345" s="78"/>
    </row>
    <row r="346" spans="1:5" ht="18">
      <c r="A346" s="59"/>
      <c r="B346" s="60" t="s">
        <v>196</v>
      </c>
      <c r="C346" s="41"/>
      <c r="D346" s="41"/>
      <c r="E346" s="78"/>
    </row>
    <row r="347" spans="1:5" ht="18">
      <c r="A347" s="59"/>
      <c r="B347" s="60" t="s">
        <v>264</v>
      </c>
      <c r="C347" s="41"/>
      <c r="D347" s="41"/>
      <c r="E347" s="78"/>
    </row>
    <row r="348" spans="1:5" ht="18">
      <c r="A348" s="59"/>
      <c r="B348" s="60" t="s">
        <v>207</v>
      </c>
      <c r="C348" s="41"/>
      <c r="D348" s="41"/>
      <c r="E348" s="78"/>
    </row>
    <row r="349" spans="1:5" ht="18">
      <c r="A349" s="13" t="s">
        <v>16</v>
      </c>
      <c r="B349" s="8" t="s">
        <v>17</v>
      </c>
      <c r="C349" s="14">
        <v>20000</v>
      </c>
      <c r="D349" s="14">
        <v>0</v>
      </c>
      <c r="E349" s="15"/>
    </row>
    <row r="350" spans="1:5" ht="18">
      <c r="A350" s="13"/>
      <c r="B350" s="8"/>
      <c r="C350" s="14"/>
      <c r="D350" s="14"/>
      <c r="E350" s="15"/>
    </row>
    <row r="351" spans="1:5" ht="18">
      <c r="A351" s="9" t="s">
        <v>159</v>
      </c>
      <c r="B351" s="10" t="s">
        <v>160</v>
      </c>
      <c r="C351" s="11">
        <f>SUM(C356+C353)</f>
        <v>78000</v>
      </c>
      <c r="D351" s="11">
        <f>SUM(D356+D353)</f>
        <v>60000</v>
      </c>
      <c r="E351" s="12">
        <f>D351*100/C351</f>
        <v>76.92307692307692</v>
      </c>
    </row>
    <row r="352" spans="1:5" ht="18">
      <c r="A352" s="16"/>
      <c r="B352" s="17"/>
      <c r="C352" s="18"/>
      <c r="D352" s="29"/>
      <c r="E352" s="15"/>
    </row>
    <row r="353" spans="1:5" ht="18">
      <c r="A353" s="16" t="s">
        <v>258</v>
      </c>
      <c r="B353" s="17" t="s">
        <v>259</v>
      </c>
      <c r="C353" s="18">
        <f>SUM(C354)</f>
        <v>18000</v>
      </c>
      <c r="D353" s="29">
        <f>SUM(D354)</f>
        <v>0</v>
      </c>
      <c r="E353" s="19">
        <f>D353*100/C353</f>
        <v>0</v>
      </c>
    </row>
    <row r="354" spans="1:5" ht="18">
      <c r="A354" s="13" t="s">
        <v>89</v>
      </c>
      <c r="B354" s="8" t="s">
        <v>98</v>
      </c>
      <c r="C354" s="14">
        <v>18000</v>
      </c>
      <c r="D354" s="30">
        <v>0</v>
      </c>
      <c r="E354" s="15"/>
    </row>
    <row r="355" spans="1:5" ht="18">
      <c r="A355" s="16"/>
      <c r="B355" s="17"/>
      <c r="C355" s="18"/>
      <c r="D355" s="29"/>
      <c r="E355" s="15"/>
    </row>
    <row r="356" spans="1:5" ht="18">
      <c r="A356" s="16" t="s">
        <v>161</v>
      </c>
      <c r="B356" s="17" t="s">
        <v>15</v>
      </c>
      <c r="C356" s="18">
        <f>SUM(C357)</f>
        <v>60000</v>
      </c>
      <c r="D356" s="29">
        <f>SUM(D357)</f>
        <v>60000</v>
      </c>
      <c r="E356" s="19">
        <f>D356*100/C356</f>
        <v>100</v>
      </c>
    </row>
    <row r="357" spans="1:5" ht="18">
      <c r="A357" s="13" t="s">
        <v>104</v>
      </c>
      <c r="B357" s="8" t="s">
        <v>105</v>
      </c>
      <c r="C357" s="14">
        <v>60000</v>
      </c>
      <c r="D357" s="30">
        <v>60000</v>
      </c>
      <c r="E357" s="15"/>
    </row>
    <row r="358" spans="1:5" ht="18">
      <c r="A358" s="13"/>
      <c r="B358" s="8" t="s">
        <v>162</v>
      </c>
      <c r="C358" s="14"/>
      <c r="D358" s="30"/>
      <c r="E358" s="15"/>
    </row>
    <row r="359" spans="1:5" ht="18">
      <c r="A359" s="20"/>
      <c r="B359" s="7" t="s">
        <v>107</v>
      </c>
      <c r="C359" s="21"/>
      <c r="D359" s="31"/>
      <c r="E359" s="22"/>
    </row>
    <row r="360" spans="1:5" ht="18">
      <c r="A360" s="32"/>
      <c r="B360" s="33" t="s">
        <v>163</v>
      </c>
      <c r="C360" s="34">
        <f>SUM(C351+C331+C291+C281+C242+C219+C207+C202+C152+C143+C77+C66+C40+C26+C6+C188+C194)</f>
        <v>18055101</v>
      </c>
      <c r="D360" s="34">
        <f>SUM(D351+D331+D291+D281+D242+D219+D207+D202+D152+D143+D77+D66+D40+D26+D6+D188+D194)</f>
        <v>10485148.31</v>
      </c>
      <c r="E360" s="35">
        <f>D360*100/C360</f>
        <v>58.07305265143629</v>
      </c>
    </row>
    <row r="361" spans="1:5" ht="18">
      <c r="A361" s="36"/>
      <c r="C361" s="37"/>
      <c r="D361" s="37"/>
      <c r="E361" s="38"/>
    </row>
    <row r="362" spans="1:5" ht="18">
      <c r="A362" s="36"/>
      <c r="C362" s="37"/>
      <c r="D362" s="37"/>
      <c r="E362" s="38"/>
    </row>
    <row r="363" spans="1:5" ht="18">
      <c r="A363" s="36"/>
      <c r="C363" s="37"/>
      <c r="D363" s="37"/>
      <c r="E363" s="38"/>
    </row>
    <row r="364" spans="1:5" ht="18">
      <c r="A364" s="55"/>
      <c r="B364" s="56"/>
      <c r="C364" s="57"/>
      <c r="D364" s="57"/>
      <c r="E364" s="58"/>
    </row>
    <row r="365" spans="1:5" ht="18">
      <c r="A365" s="23"/>
      <c r="B365" s="24"/>
      <c r="C365" s="25"/>
      <c r="D365" s="25"/>
      <c r="E365" s="27"/>
    </row>
    <row r="366" spans="1:5" ht="18">
      <c r="A366" s="23"/>
      <c r="B366" s="24"/>
      <c r="C366" s="25"/>
      <c r="D366" s="25"/>
      <c r="E366" s="27"/>
    </row>
    <row r="367" spans="1:5" ht="18">
      <c r="A367" s="23"/>
      <c r="B367" s="24"/>
      <c r="C367" s="25"/>
      <c r="D367" s="25"/>
      <c r="E367" s="27"/>
    </row>
    <row r="368" spans="1:5" ht="18">
      <c r="A368" s="23"/>
      <c r="B368" s="24"/>
      <c r="C368" s="25"/>
      <c r="D368" s="25"/>
      <c r="E368" s="27"/>
    </row>
    <row r="369" spans="1:5" ht="18">
      <c r="A369" s="23"/>
      <c r="B369" s="24"/>
      <c r="C369" s="25"/>
      <c r="D369" s="25"/>
      <c r="E369" s="27"/>
    </row>
    <row r="370" spans="1:5" ht="18">
      <c r="A370" s="23"/>
      <c r="B370" s="24"/>
      <c r="C370" s="25"/>
      <c r="D370" s="25"/>
      <c r="E370" s="27"/>
    </row>
    <row r="371" spans="1:5" ht="18">
      <c r="A371" s="36"/>
      <c r="C371" s="37"/>
      <c r="D371" s="37"/>
      <c r="E371" s="38"/>
    </row>
    <row r="372" spans="1:5" ht="18">
      <c r="A372" s="36"/>
      <c r="C372" s="37"/>
      <c r="D372" s="37"/>
      <c r="E372" s="38"/>
    </row>
    <row r="373" spans="1:5" ht="18">
      <c r="A373" s="36"/>
      <c r="C373" s="37"/>
      <c r="D373" s="37"/>
      <c r="E373" s="38"/>
    </row>
    <row r="374" spans="1:5" ht="18">
      <c r="A374" s="36"/>
      <c r="C374" s="37"/>
      <c r="D374" s="37"/>
      <c r="E374" s="38"/>
    </row>
    <row r="375" spans="1:5" ht="18">
      <c r="A375" s="36"/>
      <c r="C375" s="37"/>
      <c r="D375" s="37"/>
      <c r="E375" s="38"/>
    </row>
    <row r="376" spans="1:5" ht="18">
      <c r="A376" s="36"/>
      <c r="C376" s="37"/>
      <c r="D376" s="37"/>
      <c r="E376" s="38"/>
    </row>
    <row r="377" spans="1:5" ht="18">
      <c r="A377" s="36"/>
      <c r="C377" s="37"/>
      <c r="D377" s="37"/>
      <c r="E377" s="38"/>
    </row>
    <row r="378" spans="1:5" ht="18">
      <c r="A378" s="36"/>
      <c r="C378" s="37"/>
      <c r="D378" s="37"/>
      <c r="E378" s="38"/>
    </row>
    <row r="379" spans="1:5" ht="18">
      <c r="A379" s="36"/>
      <c r="C379" s="37"/>
      <c r="D379" s="37"/>
      <c r="E379" s="38"/>
    </row>
    <row r="380" spans="1:5" ht="18">
      <c r="A380" s="36"/>
      <c r="C380" s="37"/>
      <c r="D380" s="37"/>
      <c r="E380" s="38"/>
    </row>
    <row r="381" spans="1:5" ht="18">
      <c r="A381" s="36"/>
      <c r="C381" s="37"/>
      <c r="D381" s="37"/>
      <c r="E381" s="38"/>
    </row>
    <row r="382" spans="1:5" ht="18">
      <c r="A382" s="36"/>
      <c r="C382" s="37"/>
      <c r="D382" s="37"/>
      <c r="E382" s="38"/>
    </row>
    <row r="383" spans="1:5" ht="18">
      <c r="A383" s="36"/>
      <c r="C383" s="37"/>
      <c r="D383" s="37"/>
      <c r="E383" s="38"/>
    </row>
    <row r="384" spans="1:5" ht="18">
      <c r="A384" s="36"/>
      <c r="C384" s="37"/>
      <c r="D384" s="37"/>
      <c r="E384" s="38"/>
    </row>
    <row r="385" spans="1:5" ht="18">
      <c r="A385" s="36"/>
      <c r="C385" s="37"/>
      <c r="D385" s="37"/>
      <c r="E385" s="38"/>
    </row>
    <row r="386" spans="1:5" ht="18">
      <c r="A386" s="36"/>
      <c r="C386" s="37"/>
      <c r="D386" s="37"/>
      <c r="E386" s="38"/>
    </row>
    <row r="387" spans="1:5" ht="18">
      <c r="A387" s="36"/>
      <c r="C387" s="37"/>
      <c r="D387" s="37"/>
      <c r="E387" s="38"/>
    </row>
    <row r="388" spans="1:5" ht="18">
      <c r="A388" s="36"/>
      <c r="C388" s="37"/>
      <c r="D388" s="37"/>
      <c r="E388" s="38"/>
    </row>
    <row r="389" spans="1:5" ht="18">
      <c r="A389" s="36"/>
      <c r="C389" s="37"/>
      <c r="D389" s="37"/>
      <c r="E389" s="38"/>
    </row>
    <row r="390" spans="1:5" ht="18">
      <c r="A390" s="36"/>
      <c r="C390" s="37"/>
      <c r="D390" s="37"/>
      <c r="E390" s="38"/>
    </row>
    <row r="391" spans="1:5" ht="18">
      <c r="A391" s="36"/>
      <c r="C391" s="37"/>
      <c r="D391" s="37"/>
      <c r="E391" s="38"/>
    </row>
    <row r="392" spans="1:5" ht="18">
      <c r="A392" s="36"/>
      <c r="C392" s="37"/>
      <c r="D392" s="37"/>
      <c r="E392" s="38"/>
    </row>
    <row r="393" spans="1:5" ht="18">
      <c r="A393" s="36"/>
      <c r="C393" s="37"/>
      <c r="D393" s="37"/>
      <c r="E393" s="38"/>
    </row>
    <row r="394" spans="1:5" ht="18">
      <c r="A394" s="36"/>
      <c r="C394" s="37"/>
      <c r="D394" s="37"/>
      <c r="E394" s="38"/>
    </row>
    <row r="395" spans="1:5" ht="18">
      <c r="A395" s="36"/>
      <c r="C395" s="37"/>
      <c r="D395" s="37"/>
      <c r="E395" s="38"/>
    </row>
    <row r="396" spans="1:5" ht="18">
      <c r="A396" s="36"/>
      <c r="C396" s="37"/>
      <c r="D396" s="37"/>
      <c r="E396" s="38"/>
    </row>
    <row r="397" spans="1:5" ht="18">
      <c r="A397" s="36"/>
      <c r="C397" s="37"/>
      <c r="D397" s="37"/>
      <c r="E397" s="38"/>
    </row>
    <row r="398" spans="1:5" ht="18">
      <c r="A398" s="36"/>
      <c r="C398" s="37"/>
      <c r="D398" s="37"/>
      <c r="E398" s="38"/>
    </row>
    <row r="399" spans="1:5" ht="18">
      <c r="A399" s="36"/>
      <c r="C399" s="37"/>
      <c r="D399" s="37"/>
      <c r="E399" s="38"/>
    </row>
    <row r="400" spans="1:5" ht="18">
      <c r="A400" s="36"/>
      <c r="C400" s="37"/>
      <c r="D400" s="37"/>
      <c r="E400" s="38"/>
    </row>
    <row r="401" spans="1:5" ht="18">
      <c r="A401" s="36"/>
      <c r="C401" s="37"/>
      <c r="D401" s="37"/>
      <c r="E401" s="38"/>
    </row>
    <row r="402" spans="1:5" ht="18">
      <c r="A402" s="36"/>
      <c r="C402" s="37"/>
      <c r="D402" s="37"/>
      <c r="E402" s="38"/>
    </row>
    <row r="403" spans="1:5" ht="18">
      <c r="A403" s="36"/>
      <c r="C403" s="37"/>
      <c r="D403" s="37"/>
      <c r="E403" s="38"/>
    </row>
    <row r="404" spans="1:5" ht="18">
      <c r="A404" s="36"/>
      <c r="C404" s="37"/>
      <c r="D404" s="37"/>
      <c r="E404" s="38"/>
    </row>
    <row r="405" spans="1:5" ht="18">
      <c r="A405" s="36"/>
      <c r="C405" s="37"/>
      <c r="D405" s="37"/>
      <c r="E405" s="38"/>
    </row>
    <row r="406" spans="1:5" ht="18">
      <c r="A406" s="36"/>
      <c r="C406" s="37"/>
      <c r="D406" s="37"/>
      <c r="E406" s="38"/>
    </row>
    <row r="407" spans="1:5" ht="18">
      <c r="A407" s="36"/>
      <c r="C407" s="37"/>
      <c r="D407" s="37"/>
      <c r="E407" s="38"/>
    </row>
    <row r="408" spans="1:5" ht="18">
      <c r="A408" s="36"/>
      <c r="C408" s="37"/>
      <c r="D408" s="37"/>
      <c r="E408" s="38"/>
    </row>
    <row r="409" spans="1:5" ht="18">
      <c r="A409" s="36"/>
      <c r="C409" s="37"/>
      <c r="D409" s="37"/>
      <c r="E409" s="38"/>
    </row>
    <row r="410" spans="1:5" ht="18">
      <c r="A410" s="36"/>
      <c r="C410" s="37"/>
      <c r="D410" s="37"/>
      <c r="E410" s="38"/>
    </row>
    <row r="411" spans="1:5" ht="18">
      <c r="A411" s="36"/>
      <c r="C411" s="37"/>
      <c r="D411" s="37"/>
      <c r="E411" s="38"/>
    </row>
    <row r="412" spans="1:5" ht="18">
      <c r="A412" s="36"/>
      <c r="C412" s="37"/>
      <c r="D412" s="37"/>
      <c r="E412" s="38"/>
    </row>
    <row r="413" spans="1:5" ht="18">
      <c r="A413" s="36"/>
      <c r="C413" s="37"/>
      <c r="D413" s="37"/>
      <c r="E413" s="38"/>
    </row>
    <row r="414" spans="1:5" ht="18">
      <c r="A414" s="36"/>
      <c r="C414" s="37"/>
      <c r="D414" s="37"/>
      <c r="E414" s="38"/>
    </row>
    <row r="415" spans="1:5" ht="18">
      <c r="A415" s="36"/>
      <c r="C415" s="37"/>
      <c r="D415" s="37"/>
      <c r="E415" s="38"/>
    </row>
    <row r="416" spans="1:5" ht="18">
      <c r="A416" s="36"/>
      <c r="C416" s="37"/>
      <c r="D416" s="37"/>
      <c r="E416" s="38"/>
    </row>
    <row r="417" spans="1:5" ht="18">
      <c r="A417" s="36"/>
      <c r="C417" s="37"/>
      <c r="D417" s="37"/>
      <c r="E417" s="38"/>
    </row>
    <row r="418" spans="1:5" ht="18">
      <c r="A418" s="36"/>
      <c r="C418" s="37"/>
      <c r="D418" s="37"/>
      <c r="E418" s="38"/>
    </row>
    <row r="419" spans="1:5" ht="18">
      <c r="A419" s="36"/>
      <c r="C419" s="37"/>
      <c r="D419" s="37"/>
      <c r="E419" s="38"/>
    </row>
    <row r="420" spans="1:5" ht="18">
      <c r="A420" s="36"/>
      <c r="C420" s="37"/>
      <c r="D420" s="37"/>
      <c r="E420" s="38"/>
    </row>
    <row r="421" spans="1:5" ht="18">
      <c r="A421" s="36"/>
      <c r="C421" s="37"/>
      <c r="D421" s="37"/>
      <c r="E421" s="38"/>
    </row>
    <row r="422" spans="1:5" ht="18">
      <c r="A422" s="36"/>
      <c r="C422" s="37"/>
      <c r="D422" s="37"/>
      <c r="E422" s="38"/>
    </row>
    <row r="423" spans="1:5" ht="18">
      <c r="A423" s="36"/>
      <c r="C423" s="37"/>
      <c r="D423" s="37"/>
      <c r="E423" s="38"/>
    </row>
    <row r="424" spans="1:5" ht="18">
      <c r="A424" s="36"/>
      <c r="C424" s="37"/>
      <c r="D424" s="37"/>
      <c r="E424" s="38"/>
    </row>
    <row r="425" spans="1:5" ht="18">
      <c r="A425" s="36"/>
      <c r="C425" s="37"/>
      <c r="D425" s="37"/>
      <c r="E425" s="38"/>
    </row>
    <row r="426" spans="1:5" ht="18">
      <c r="A426" s="36"/>
      <c r="C426" s="37"/>
      <c r="D426" s="37"/>
      <c r="E426" s="38"/>
    </row>
    <row r="427" spans="1:5" ht="18">
      <c r="A427" s="36"/>
      <c r="C427" s="37"/>
      <c r="D427" s="37"/>
      <c r="E427" s="38"/>
    </row>
    <row r="428" spans="1:5" ht="18">
      <c r="A428" s="36"/>
      <c r="C428" s="37"/>
      <c r="D428" s="37"/>
      <c r="E428" s="38"/>
    </row>
    <row r="429" spans="1:5" ht="18">
      <c r="A429" s="36"/>
      <c r="C429" s="37"/>
      <c r="D429" s="37"/>
      <c r="E429" s="38"/>
    </row>
    <row r="430" spans="1:5" ht="18">
      <c r="A430" s="36"/>
      <c r="C430" s="37"/>
      <c r="D430" s="37"/>
      <c r="E430" s="38"/>
    </row>
    <row r="431" spans="1:5" ht="18">
      <c r="A431" s="36"/>
      <c r="C431" s="37"/>
      <c r="D431" s="37"/>
      <c r="E431" s="38"/>
    </row>
    <row r="432" spans="1:5" ht="18">
      <c r="A432" s="36"/>
      <c r="C432" s="37"/>
      <c r="D432" s="37"/>
      <c r="E432" s="38"/>
    </row>
    <row r="433" spans="1:5" ht="18">
      <c r="A433" s="36"/>
      <c r="C433" s="37"/>
      <c r="D433" s="37"/>
      <c r="E433" s="38"/>
    </row>
    <row r="434" spans="1:5" ht="18">
      <c r="A434" s="36"/>
      <c r="C434" s="37"/>
      <c r="D434" s="37"/>
      <c r="E434" s="38"/>
    </row>
    <row r="435" spans="1:5" ht="18">
      <c r="A435" s="36"/>
      <c r="C435" s="37"/>
      <c r="D435" s="37"/>
      <c r="E435" s="38"/>
    </row>
    <row r="436" spans="1:5" ht="18">
      <c r="A436" s="36"/>
      <c r="C436" s="37"/>
      <c r="D436" s="37"/>
      <c r="E436" s="38"/>
    </row>
    <row r="437" spans="1:5" ht="18">
      <c r="A437" s="36"/>
      <c r="C437" s="37"/>
      <c r="D437" s="37"/>
      <c r="E437" s="38"/>
    </row>
    <row r="438" spans="1:5" ht="18">
      <c r="A438" s="36"/>
      <c r="C438" s="37"/>
      <c r="D438" s="37"/>
      <c r="E438" s="38"/>
    </row>
    <row r="439" spans="1:5" ht="18">
      <c r="A439" s="36"/>
      <c r="C439" s="37"/>
      <c r="D439" s="37"/>
      <c r="E439" s="38"/>
    </row>
    <row r="440" spans="1:5" ht="18">
      <c r="A440" s="36"/>
      <c r="C440" s="37"/>
      <c r="D440" s="37"/>
      <c r="E440" s="38"/>
    </row>
    <row r="441" spans="1:5" ht="18">
      <c r="A441" s="36"/>
      <c r="C441" s="37"/>
      <c r="D441" s="37"/>
      <c r="E441" s="38"/>
    </row>
    <row r="442" spans="1:5" ht="18">
      <c r="A442" s="36"/>
      <c r="C442" s="37"/>
      <c r="D442" s="37"/>
      <c r="E442" s="38"/>
    </row>
    <row r="443" spans="1:5" ht="18">
      <c r="A443" s="36"/>
      <c r="C443" s="37"/>
      <c r="D443" s="37"/>
      <c r="E443" s="38"/>
    </row>
    <row r="444" spans="1:5" ht="18">
      <c r="A444" s="36"/>
      <c r="C444" s="37"/>
      <c r="D444" s="37"/>
      <c r="E444" s="38"/>
    </row>
    <row r="445" spans="1:5" ht="18">
      <c r="A445" s="36"/>
      <c r="C445" s="37"/>
      <c r="D445" s="37"/>
      <c r="E445" s="38"/>
    </row>
    <row r="446" spans="1:5" ht="18">
      <c r="A446" s="36"/>
      <c r="C446" s="37"/>
      <c r="D446" s="37"/>
      <c r="E446" s="38"/>
    </row>
    <row r="447" spans="1:5" ht="18">
      <c r="A447" s="36"/>
      <c r="C447" s="37"/>
      <c r="D447" s="37"/>
      <c r="E447" s="38"/>
    </row>
    <row r="448" spans="1:5" ht="18">
      <c r="A448" s="36"/>
      <c r="C448" s="37"/>
      <c r="D448" s="37"/>
      <c r="E448" s="38"/>
    </row>
    <row r="449" spans="1:5" ht="18">
      <c r="A449" s="36"/>
      <c r="C449" s="37"/>
      <c r="D449" s="37"/>
      <c r="E449" s="38"/>
    </row>
    <row r="450" spans="1:5" ht="18">
      <c r="A450" s="36"/>
      <c r="C450" s="37"/>
      <c r="D450" s="37"/>
      <c r="E450" s="38"/>
    </row>
    <row r="451" spans="1:5" ht="18">
      <c r="A451" s="36"/>
      <c r="C451" s="37"/>
      <c r="D451" s="37"/>
      <c r="E451" s="38"/>
    </row>
    <row r="452" spans="1:5" ht="18">
      <c r="A452" s="36"/>
      <c r="C452" s="37"/>
      <c r="D452" s="37"/>
      <c r="E452" s="38"/>
    </row>
    <row r="453" spans="1:5" ht="18">
      <c r="A453" s="36"/>
      <c r="C453" s="37"/>
      <c r="D453" s="37"/>
      <c r="E453" s="38"/>
    </row>
    <row r="454" spans="1:5" ht="18">
      <c r="A454" s="36"/>
      <c r="C454" s="37"/>
      <c r="D454" s="37"/>
      <c r="E454" s="38"/>
    </row>
    <row r="455" spans="1:5" ht="18">
      <c r="A455" s="36"/>
      <c r="C455" s="37"/>
      <c r="D455" s="37"/>
      <c r="E455" s="38"/>
    </row>
    <row r="456" spans="1:5" ht="18">
      <c r="A456" s="36"/>
      <c r="C456" s="37"/>
      <c r="D456" s="37"/>
      <c r="E456" s="38"/>
    </row>
    <row r="457" spans="1:5" ht="18">
      <c r="A457" s="36"/>
      <c r="C457" s="37"/>
      <c r="D457" s="37"/>
      <c r="E457" s="38"/>
    </row>
    <row r="458" spans="1:5" ht="18">
      <c r="A458" s="36"/>
      <c r="C458" s="37"/>
      <c r="D458" s="37"/>
      <c r="E458" s="38"/>
    </row>
    <row r="459" spans="1:5" ht="18">
      <c r="A459" s="36"/>
      <c r="C459" s="37"/>
      <c r="D459" s="37"/>
      <c r="E459" s="38"/>
    </row>
    <row r="460" spans="1:5" ht="18">
      <c r="A460" s="36"/>
      <c r="C460" s="37"/>
      <c r="D460" s="37"/>
      <c r="E460" s="38"/>
    </row>
    <row r="461" spans="1:5" ht="18">
      <c r="A461" s="36"/>
      <c r="C461" s="37"/>
      <c r="D461" s="37"/>
      <c r="E461" s="38"/>
    </row>
    <row r="462" spans="1:5" ht="18">
      <c r="A462" s="36"/>
      <c r="C462" s="37"/>
      <c r="D462" s="37"/>
      <c r="E462" s="38"/>
    </row>
    <row r="463" spans="1:5" ht="18">
      <c r="A463" s="36"/>
      <c r="C463" s="37"/>
      <c r="D463" s="37"/>
      <c r="E463" s="38"/>
    </row>
    <row r="464" spans="1:5" ht="18">
      <c r="A464" s="36"/>
      <c r="C464" s="37"/>
      <c r="D464" s="37"/>
      <c r="E464" s="38"/>
    </row>
    <row r="465" spans="1:5" ht="18">
      <c r="A465" s="36"/>
      <c r="C465" s="37"/>
      <c r="D465" s="37"/>
      <c r="E465" s="38"/>
    </row>
    <row r="466" spans="1:5" ht="18">
      <c r="A466" s="36"/>
      <c r="C466" s="37"/>
      <c r="D466" s="37"/>
      <c r="E466" s="38"/>
    </row>
    <row r="467" spans="1:5" ht="18">
      <c r="A467" s="36"/>
      <c r="C467" s="37"/>
      <c r="D467" s="37"/>
      <c r="E467" s="38"/>
    </row>
    <row r="468" spans="1:5" ht="18">
      <c r="A468" s="36"/>
      <c r="C468" s="37"/>
      <c r="D468" s="37"/>
      <c r="E468" s="38"/>
    </row>
    <row r="469" spans="1:5" ht="18">
      <c r="A469" s="36"/>
      <c r="C469" s="37"/>
      <c r="D469" s="37"/>
      <c r="E469" s="38"/>
    </row>
    <row r="470" spans="1:5" ht="18">
      <c r="A470" s="36"/>
      <c r="C470" s="37"/>
      <c r="D470" s="37"/>
      <c r="E470" s="38"/>
    </row>
    <row r="471" spans="1:5" ht="18">
      <c r="A471" s="36"/>
      <c r="C471" s="37"/>
      <c r="D471" s="37"/>
      <c r="E471" s="38"/>
    </row>
    <row r="472" spans="1:5" ht="18">
      <c r="A472" s="36"/>
      <c r="C472" s="37"/>
      <c r="D472" s="37"/>
      <c r="E472" s="38"/>
    </row>
    <row r="473" spans="1:5" ht="18">
      <c r="A473" s="36"/>
      <c r="C473" s="37"/>
      <c r="D473" s="37"/>
      <c r="E473" s="38"/>
    </row>
    <row r="474" spans="1:5" ht="18">
      <c r="A474" s="36"/>
      <c r="C474" s="37"/>
      <c r="D474" s="37"/>
      <c r="E474" s="38"/>
    </row>
    <row r="475" spans="1:5" ht="18">
      <c r="A475" s="36"/>
      <c r="C475" s="37"/>
      <c r="D475" s="37"/>
      <c r="E475" s="38"/>
    </row>
    <row r="476" spans="1:5" ht="18">
      <c r="A476" s="36"/>
      <c r="C476" s="37"/>
      <c r="D476" s="37"/>
      <c r="E476" s="38"/>
    </row>
    <row r="477" spans="1:5" ht="18">
      <c r="A477" s="36"/>
      <c r="C477" s="37"/>
      <c r="D477" s="37"/>
      <c r="E477" s="38"/>
    </row>
    <row r="478" spans="1:5" ht="18">
      <c r="A478" s="36"/>
      <c r="C478" s="37"/>
      <c r="D478" s="37"/>
      <c r="E478" s="38"/>
    </row>
    <row r="479" spans="1:5" ht="18">
      <c r="A479" s="36"/>
      <c r="C479" s="37"/>
      <c r="D479" s="37"/>
      <c r="E479" s="38"/>
    </row>
    <row r="480" spans="1:5" ht="18">
      <c r="A480" s="36"/>
      <c r="C480" s="37"/>
      <c r="D480" s="37"/>
      <c r="E480" s="38"/>
    </row>
    <row r="481" spans="1:5" ht="18">
      <c r="A481" s="36"/>
      <c r="C481" s="37"/>
      <c r="D481" s="37"/>
      <c r="E481" s="38"/>
    </row>
    <row r="482" spans="1:5" ht="18">
      <c r="A482" s="36"/>
      <c r="C482" s="37"/>
      <c r="D482" s="37"/>
      <c r="E482" s="38"/>
    </row>
    <row r="483" spans="1:5" ht="18">
      <c r="A483" s="36"/>
      <c r="C483" s="37"/>
      <c r="D483" s="37"/>
      <c r="E483" s="38"/>
    </row>
    <row r="484" spans="1:5" ht="18">
      <c r="A484" s="36"/>
      <c r="C484" s="37"/>
      <c r="D484" s="37"/>
      <c r="E484" s="38"/>
    </row>
    <row r="485" spans="1:5" ht="18">
      <c r="A485" s="36"/>
      <c r="C485" s="37"/>
      <c r="D485" s="37"/>
      <c r="E485" s="38"/>
    </row>
    <row r="486" spans="1:5" ht="18">
      <c r="A486" s="36"/>
      <c r="C486" s="37"/>
      <c r="D486" s="37"/>
      <c r="E486" s="38"/>
    </row>
    <row r="487" spans="1:5" ht="18">
      <c r="A487" s="36"/>
      <c r="C487" s="37"/>
      <c r="D487" s="37"/>
      <c r="E487" s="38"/>
    </row>
    <row r="488" spans="1:5" ht="18">
      <c r="A488" s="36"/>
      <c r="C488" s="37"/>
      <c r="D488" s="37"/>
      <c r="E488" s="38"/>
    </row>
    <row r="489" spans="1:5" ht="18">
      <c r="A489" s="36"/>
      <c r="C489" s="37"/>
      <c r="D489" s="37"/>
      <c r="E489" s="38"/>
    </row>
    <row r="490" spans="1:5" ht="18">
      <c r="A490" s="36"/>
      <c r="C490" s="37"/>
      <c r="D490" s="37"/>
      <c r="E490" s="38"/>
    </row>
    <row r="491" spans="1:5" ht="18">
      <c r="A491" s="36"/>
      <c r="C491" s="37"/>
      <c r="D491" s="37"/>
      <c r="E491" s="38"/>
    </row>
    <row r="492" spans="1:5" ht="18">
      <c r="A492" s="36"/>
      <c r="C492" s="37"/>
      <c r="D492" s="37"/>
      <c r="E492" s="38"/>
    </row>
    <row r="493" spans="1:5" ht="18">
      <c r="A493" s="36"/>
      <c r="C493" s="37"/>
      <c r="D493" s="37"/>
      <c r="E493" s="38"/>
    </row>
    <row r="494" spans="1:5" ht="18">
      <c r="A494" s="36"/>
      <c r="C494" s="37"/>
      <c r="D494" s="37"/>
      <c r="E494" s="38"/>
    </row>
    <row r="495" spans="1:5" ht="18">
      <c r="A495" s="36"/>
      <c r="C495" s="37"/>
      <c r="D495" s="37"/>
      <c r="E495" s="38"/>
    </row>
    <row r="496" spans="1:5" ht="18">
      <c r="A496" s="36"/>
      <c r="C496" s="37"/>
      <c r="D496" s="37"/>
      <c r="E496" s="38"/>
    </row>
    <row r="497" spans="1:5" ht="18">
      <c r="A497" s="36"/>
      <c r="C497" s="37"/>
      <c r="D497" s="37"/>
      <c r="E497" s="38"/>
    </row>
    <row r="498" spans="1:5" ht="18">
      <c r="A498" s="36"/>
      <c r="C498" s="37"/>
      <c r="D498" s="37"/>
      <c r="E498" s="38"/>
    </row>
    <row r="499" spans="1:5" ht="18">
      <c r="A499" s="36"/>
      <c r="C499" s="37"/>
      <c r="D499" s="37"/>
      <c r="E499" s="38"/>
    </row>
    <row r="500" spans="1:5" ht="18">
      <c r="A500" s="36"/>
      <c r="C500" s="37"/>
      <c r="D500" s="37"/>
      <c r="E500" s="38"/>
    </row>
    <row r="501" spans="1:5" ht="18">
      <c r="A501" s="36"/>
      <c r="C501" s="37"/>
      <c r="D501" s="37"/>
      <c r="E501" s="38"/>
    </row>
    <row r="502" spans="1:5" ht="18">
      <c r="A502" s="36"/>
      <c r="C502" s="37"/>
      <c r="D502" s="37"/>
      <c r="E502" s="38"/>
    </row>
    <row r="503" spans="1:5" ht="18">
      <c r="A503" s="36"/>
      <c r="C503" s="37"/>
      <c r="D503" s="37"/>
      <c r="E503" s="38"/>
    </row>
    <row r="504" spans="1:5" ht="18">
      <c r="A504" s="36"/>
      <c r="C504" s="37"/>
      <c r="D504" s="37"/>
      <c r="E504" s="38"/>
    </row>
    <row r="505" spans="1:5" ht="18">
      <c r="A505" s="36"/>
      <c r="C505" s="37"/>
      <c r="D505" s="37"/>
      <c r="E505" s="38"/>
    </row>
    <row r="506" spans="1:5" ht="18">
      <c r="A506" s="36"/>
      <c r="C506" s="37"/>
      <c r="D506" s="37"/>
      <c r="E506" s="38"/>
    </row>
    <row r="507" spans="1:5" ht="18">
      <c r="A507" s="36"/>
      <c r="C507" s="37"/>
      <c r="D507" s="37"/>
      <c r="E507" s="38"/>
    </row>
    <row r="508" spans="1:5" ht="18">
      <c r="A508" s="36"/>
      <c r="C508" s="37"/>
      <c r="D508" s="37"/>
      <c r="E508" s="38"/>
    </row>
    <row r="509" spans="1:5" ht="18">
      <c r="A509" s="36"/>
      <c r="C509" s="37"/>
      <c r="D509" s="37"/>
      <c r="E509" s="38"/>
    </row>
    <row r="510" spans="1:5" ht="18">
      <c r="A510" s="36"/>
      <c r="C510" s="37"/>
      <c r="D510" s="37"/>
      <c r="E510" s="38"/>
    </row>
    <row r="511" spans="1:5" ht="18">
      <c r="A511" s="36"/>
      <c r="C511" s="37"/>
      <c r="D511" s="37"/>
      <c r="E511" s="38"/>
    </row>
    <row r="512" spans="1:5" ht="18">
      <c r="A512" s="36"/>
      <c r="C512" s="37"/>
      <c r="D512" s="37"/>
      <c r="E512" s="38"/>
    </row>
    <row r="513" spans="1:5" ht="18">
      <c r="A513" s="36"/>
      <c r="C513" s="37"/>
      <c r="D513" s="37"/>
      <c r="E513" s="38"/>
    </row>
    <row r="514" spans="1:5" ht="18">
      <c r="A514" s="36"/>
      <c r="C514" s="37"/>
      <c r="D514" s="37"/>
      <c r="E514" s="38"/>
    </row>
    <row r="515" spans="1:5" ht="18">
      <c r="A515" s="36"/>
      <c r="C515" s="37"/>
      <c r="D515" s="37"/>
      <c r="E515" s="38"/>
    </row>
    <row r="516" spans="1:5" ht="18">
      <c r="A516" s="36"/>
      <c r="C516" s="37"/>
      <c r="D516" s="37"/>
      <c r="E516" s="38"/>
    </row>
    <row r="517" spans="1:5" ht="18">
      <c r="A517" s="36"/>
      <c r="C517" s="37"/>
      <c r="D517" s="37"/>
      <c r="E517" s="38"/>
    </row>
    <row r="518" spans="1:5" ht="18">
      <c r="A518" s="36"/>
      <c r="C518" s="37"/>
      <c r="D518" s="37"/>
      <c r="E518" s="38"/>
    </row>
    <row r="519" spans="1:5" ht="18">
      <c r="A519" s="36"/>
      <c r="C519" s="37"/>
      <c r="D519" s="37"/>
      <c r="E519" s="38"/>
    </row>
    <row r="520" spans="1:5" ht="18">
      <c r="A520" s="36"/>
      <c r="C520" s="37"/>
      <c r="D520" s="37"/>
      <c r="E520" s="38"/>
    </row>
    <row r="521" spans="1:5" ht="18">
      <c r="A521" s="36"/>
      <c r="C521" s="37"/>
      <c r="D521" s="37"/>
      <c r="E521" s="38"/>
    </row>
    <row r="522" spans="1:5" ht="18">
      <c r="A522" s="36"/>
      <c r="C522" s="37"/>
      <c r="D522" s="37"/>
      <c r="E522" s="38"/>
    </row>
    <row r="523" spans="1:5" ht="18">
      <c r="A523" s="36"/>
      <c r="C523" s="37"/>
      <c r="D523" s="37"/>
      <c r="E523" s="38"/>
    </row>
    <row r="524" spans="1:5" ht="18">
      <c r="A524" s="36"/>
      <c r="C524" s="37"/>
      <c r="D524" s="37"/>
      <c r="E524" s="38"/>
    </row>
    <row r="525" spans="1:5" ht="18">
      <c r="A525" s="36"/>
      <c r="C525" s="37"/>
      <c r="D525" s="37"/>
      <c r="E525" s="38"/>
    </row>
    <row r="526" spans="1:5" ht="18">
      <c r="A526" s="36"/>
      <c r="C526" s="37"/>
      <c r="D526" s="37"/>
      <c r="E526" s="38"/>
    </row>
    <row r="527" spans="1:5" ht="18">
      <c r="A527" s="36"/>
      <c r="C527" s="37"/>
      <c r="D527" s="37"/>
      <c r="E527" s="38"/>
    </row>
    <row r="528" spans="1:5" ht="18">
      <c r="A528" s="36"/>
      <c r="C528" s="37"/>
      <c r="D528" s="37"/>
      <c r="E528" s="38"/>
    </row>
    <row r="529" spans="1:5" ht="18">
      <c r="A529" s="36"/>
      <c r="C529" s="37"/>
      <c r="D529" s="37"/>
      <c r="E529" s="38"/>
    </row>
    <row r="530" spans="1:5" ht="18">
      <c r="A530" s="36"/>
      <c r="C530" s="37"/>
      <c r="D530" s="37"/>
      <c r="E530" s="38"/>
    </row>
    <row r="531" spans="1:5" ht="18">
      <c r="A531" s="36"/>
      <c r="C531" s="37"/>
      <c r="D531" s="37"/>
      <c r="E531" s="38"/>
    </row>
    <row r="532" spans="1:5" ht="18">
      <c r="A532" s="36"/>
      <c r="C532" s="37"/>
      <c r="D532" s="37"/>
      <c r="E532" s="38"/>
    </row>
    <row r="533" spans="1:5" ht="18">
      <c r="A533" s="36"/>
      <c r="C533" s="37"/>
      <c r="D533" s="37"/>
      <c r="E533" s="38"/>
    </row>
    <row r="534" spans="1:5" ht="18">
      <c r="A534" s="36"/>
      <c r="C534" s="37"/>
      <c r="D534" s="37"/>
      <c r="E534" s="38"/>
    </row>
    <row r="535" spans="1:5" ht="18">
      <c r="A535" s="36"/>
      <c r="C535" s="37"/>
      <c r="D535" s="37"/>
      <c r="E535" s="38"/>
    </row>
    <row r="536" spans="1:5" ht="18">
      <c r="A536" s="36"/>
      <c r="C536" s="37"/>
      <c r="D536" s="37"/>
      <c r="E536" s="38"/>
    </row>
    <row r="537" spans="1:5" ht="18">
      <c r="A537" s="36"/>
      <c r="C537" s="37"/>
      <c r="D537" s="37"/>
      <c r="E537" s="38"/>
    </row>
    <row r="538" spans="1:5" ht="18">
      <c r="A538" s="36"/>
      <c r="C538" s="37"/>
      <c r="D538" s="37"/>
      <c r="E538" s="38"/>
    </row>
    <row r="539" spans="1:5" ht="18">
      <c r="A539" s="36"/>
      <c r="C539" s="37"/>
      <c r="D539" s="37"/>
      <c r="E539" s="38"/>
    </row>
    <row r="540" spans="1:5" ht="18">
      <c r="A540" s="36"/>
      <c r="C540" s="37"/>
      <c r="D540" s="37"/>
      <c r="E540" s="38"/>
    </row>
    <row r="541" spans="1:5" ht="18">
      <c r="A541" s="36"/>
      <c r="C541" s="37"/>
      <c r="D541" s="37"/>
      <c r="E541" s="38"/>
    </row>
    <row r="542" spans="1:5" ht="18">
      <c r="A542" s="36"/>
      <c r="C542" s="37"/>
      <c r="D542" s="37"/>
      <c r="E542" s="38"/>
    </row>
    <row r="543" spans="1:5" ht="18">
      <c r="A543" s="36"/>
      <c r="C543" s="37"/>
      <c r="D543" s="37"/>
      <c r="E543" s="38"/>
    </row>
    <row r="544" spans="1:5" ht="18">
      <c r="A544" s="36"/>
      <c r="C544" s="37"/>
      <c r="D544" s="37"/>
      <c r="E544" s="38"/>
    </row>
    <row r="545" spans="1:5" ht="18">
      <c r="A545" s="36"/>
      <c r="C545" s="37"/>
      <c r="D545" s="37"/>
      <c r="E545" s="38"/>
    </row>
    <row r="546" spans="1:5" ht="18">
      <c r="A546" s="36"/>
      <c r="C546" s="37"/>
      <c r="D546" s="37"/>
      <c r="E546" s="38"/>
    </row>
    <row r="547" spans="1:5" ht="18">
      <c r="A547" s="36"/>
      <c r="C547" s="37"/>
      <c r="D547" s="37"/>
      <c r="E547" s="38"/>
    </row>
    <row r="548" spans="1:5" ht="18">
      <c r="A548" s="36"/>
      <c r="C548" s="37"/>
      <c r="D548" s="37"/>
      <c r="E548" s="38"/>
    </row>
    <row r="549" spans="1:5" ht="18">
      <c r="A549" s="36"/>
      <c r="C549" s="37"/>
      <c r="D549" s="37"/>
      <c r="E549" s="38"/>
    </row>
    <row r="550" spans="1:5" ht="18">
      <c r="A550" s="36"/>
      <c r="C550" s="37"/>
      <c r="D550" s="37"/>
      <c r="E550" s="38"/>
    </row>
    <row r="551" spans="1:5" ht="18">
      <c r="A551" s="36"/>
      <c r="C551" s="37"/>
      <c r="D551" s="37"/>
      <c r="E551" s="38"/>
    </row>
    <row r="552" spans="1:5" ht="18">
      <c r="A552" s="36"/>
      <c r="C552" s="37"/>
      <c r="D552" s="37"/>
      <c r="E552" s="38"/>
    </row>
    <row r="553" spans="1:5" ht="18">
      <c r="A553" s="36"/>
      <c r="C553" s="37"/>
      <c r="D553" s="37"/>
      <c r="E553" s="38"/>
    </row>
    <row r="554" spans="1:5" ht="18">
      <c r="A554" s="36"/>
      <c r="C554" s="37"/>
      <c r="D554" s="37"/>
      <c r="E554" s="38"/>
    </row>
    <row r="555" spans="1:5" ht="18">
      <c r="A555" s="36"/>
      <c r="C555" s="37"/>
      <c r="D555" s="37"/>
      <c r="E555" s="38"/>
    </row>
    <row r="556" spans="1:5" ht="18">
      <c r="A556" s="36"/>
      <c r="C556" s="37"/>
      <c r="D556" s="37"/>
      <c r="E556" s="38"/>
    </row>
    <row r="557" spans="1:5" ht="18">
      <c r="A557" s="36"/>
      <c r="C557" s="37"/>
      <c r="D557" s="37"/>
      <c r="E557" s="38"/>
    </row>
    <row r="558" spans="1:5" ht="18">
      <c r="A558" s="36"/>
      <c r="C558" s="37"/>
      <c r="D558" s="37"/>
      <c r="E558" s="38"/>
    </row>
    <row r="559" spans="1:5" ht="18">
      <c r="A559" s="36"/>
      <c r="C559" s="37"/>
      <c r="D559" s="37"/>
      <c r="E559" s="38"/>
    </row>
    <row r="560" spans="1:5" ht="18">
      <c r="A560" s="36"/>
      <c r="C560" s="37"/>
      <c r="D560" s="37"/>
      <c r="E560" s="38"/>
    </row>
    <row r="561" spans="1:5" ht="18">
      <c r="A561" s="36"/>
      <c r="C561" s="37"/>
      <c r="D561" s="37"/>
      <c r="E561" s="38"/>
    </row>
    <row r="562" spans="1:5" ht="18">
      <c r="A562" s="36"/>
      <c r="C562" s="37"/>
      <c r="D562" s="37"/>
      <c r="E562" s="38"/>
    </row>
    <row r="563" spans="1:5" ht="18">
      <c r="A563" s="36"/>
      <c r="C563" s="37"/>
      <c r="D563" s="37"/>
      <c r="E563" s="38"/>
    </row>
    <row r="564" spans="1:5" ht="18">
      <c r="A564" s="36"/>
      <c r="C564" s="37"/>
      <c r="D564" s="37"/>
      <c r="E564" s="38"/>
    </row>
    <row r="565" spans="1:5" ht="18">
      <c r="A565" s="36"/>
      <c r="C565" s="37"/>
      <c r="D565" s="37"/>
      <c r="E565" s="38"/>
    </row>
    <row r="566" spans="1:5" ht="18">
      <c r="A566" s="36"/>
      <c r="C566" s="37"/>
      <c r="D566" s="37"/>
      <c r="E566" s="38"/>
    </row>
    <row r="567" spans="1:5" ht="18">
      <c r="A567" s="36"/>
      <c r="C567" s="37"/>
      <c r="D567" s="37"/>
      <c r="E567" s="38"/>
    </row>
    <row r="568" spans="1:5" ht="18">
      <c r="A568" s="36"/>
      <c r="C568" s="37"/>
      <c r="D568" s="37"/>
      <c r="E568" s="38"/>
    </row>
    <row r="569" spans="1:5" ht="18">
      <c r="A569" s="36"/>
      <c r="C569" s="37"/>
      <c r="D569" s="37"/>
      <c r="E569" s="38"/>
    </row>
    <row r="570" spans="1:5" ht="18">
      <c r="A570" s="36"/>
      <c r="C570" s="37"/>
      <c r="D570" s="37"/>
      <c r="E570" s="38"/>
    </row>
    <row r="571" spans="1:5" ht="18">
      <c r="A571" s="36"/>
      <c r="C571" s="37"/>
      <c r="D571" s="37"/>
      <c r="E571" s="38"/>
    </row>
    <row r="572" spans="1:5" ht="18">
      <c r="A572" s="36"/>
      <c r="C572" s="37"/>
      <c r="D572" s="37"/>
      <c r="E572" s="38"/>
    </row>
    <row r="573" spans="1:5" ht="18">
      <c r="A573" s="36"/>
      <c r="C573" s="37"/>
      <c r="D573" s="37"/>
      <c r="E573" s="38"/>
    </row>
    <row r="574" spans="1:5" ht="18">
      <c r="A574" s="36"/>
      <c r="C574" s="37"/>
      <c r="D574" s="37"/>
      <c r="E574" s="38"/>
    </row>
    <row r="575" spans="1:5" ht="18">
      <c r="A575" s="36"/>
      <c r="C575" s="37"/>
      <c r="D575" s="37"/>
      <c r="E575" s="38"/>
    </row>
    <row r="576" spans="1:5" ht="18">
      <c r="A576" s="36"/>
      <c r="C576" s="37"/>
      <c r="D576" s="37"/>
      <c r="E576" s="38"/>
    </row>
    <row r="577" spans="1:5" ht="18">
      <c r="A577" s="36"/>
      <c r="C577" s="37"/>
      <c r="D577" s="37"/>
      <c r="E577" s="38"/>
    </row>
    <row r="578" spans="1:5" ht="18">
      <c r="A578" s="36"/>
      <c r="C578" s="37"/>
      <c r="D578" s="37"/>
      <c r="E578" s="38"/>
    </row>
    <row r="579" spans="1:5" ht="18">
      <c r="A579" s="36"/>
      <c r="C579" s="37"/>
      <c r="D579" s="37"/>
      <c r="E579" s="38"/>
    </row>
    <row r="580" spans="1:5" ht="18">
      <c r="A580" s="36"/>
      <c r="C580" s="37"/>
      <c r="D580" s="37"/>
      <c r="E580" s="38"/>
    </row>
    <row r="581" spans="1:5" ht="18">
      <c r="A581" s="36"/>
      <c r="C581" s="37"/>
      <c r="D581" s="37"/>
      <c r="E581" s="38"/>
    </row>
    <row r="582" spans="1:5" ht="18">
      <c r="A582" s="36"/>
      <c r="C582" s="37"/>
      <c r="D582" s="37"/>
      <c r="E582" s="38"/>
    </row>
    <row r="583" spans="1:5" ht="18">
      <c r="A583" s="36"/>
      <c r="C583" s="37"/>
      <c r="D583" s="37"/>
      <c r="E583" s="38"/>
    </row>
    <row r="584" spans="1:5" ht="18">
      <c r="A584" s="36"/>
      <c r="C584" s="37"/>
      <c r="D584" s="37"/>
      <c r="E584" s="38"/>
    </row>
    <row r="585" spans="1:5" ht="18">
      <c r="A585" s="36"/>
      <c r="C585" s="37"/>
      <c r="D585" s="37"/>
      <c r="E585" s="38"/>
    </row>
    <row r="586" spans="1:5" ht="18">
      <c r="A586" s="36"/>
      <c r="C586" s="37"/>
      <c r="D586" s="37"/>
      <c r="E586" s="38"/>
    </row>
    <row r="587" spans="1:5" ht="18">
      <c r="A587" s="36"/>
      <c r="C587" s="37"/>
      <c r="D587" s="37"/>
      <c r="E587" s="38"/>
    </row>
    <row r="588" spans="1:5" ht="18">
      <c r="A588" s="36"/>
      <c r="C588" s="37"/>
      <c r="D588" s="37"/>
      <c r="E588" s="38"/>
    </row>
    <row r="589" spans="1:5" ht="18">
      <c r="A589" s="36"/>
      <c r="C589" s="37"/>
      <c r="D589" s="37"/>
      <c r="E589" s="38"/>
    </row>
    <row r="590" spans="1:5" ht="18">
      <c r="A590" s="36"/>
      <c r="C590" s="37"/>
      <c r="D590" s="37"/>
      <c r="E590" s="38"/>
    </row>
    <row r="591" spans="1:5" ht="18">
      <c r="A591" s="36"/>
      <c r="C591" s="37"/>
      <c r="D591" s="37"/>
      <c r="E591" s="38"/>
    </row>
    <row r="592" spans="1:5" ht="18">
      <c r="A592" s="36"/>
      <c r="C592" s="37"/>
      <c r="D592" s="37"/>
      <c r="E592" s="38"/>
    </row>
    <row r="593" spans="1:5" ht="18">
      <c r="A593" s="36"/>
      <c r="C593" s="37"/>
      <c r="D593" s="37"/>
      <c r="E593" s="38"/>
    </row>
    <row r="594" spans="1:5" ht="18">
      <c r="A594" s="36"/>
      <c r="C594" s="37"/>
      <c r="D594" s="37"/>
      <c r="E594" s="38"/>
    </row>
    <row r="595" spans="1:5" ht="18">
      <c r="A595" s="36"/>
      <c r="C595" s="37"/>
      <c r="D595" s="37"/>
      <c r="E595" s="38"/>
    </row>
    <row r="596" spans="1:5" ht="18">
      <c r="A596" s="36"/>
      <c r="C596" s="37"/>
      <c r="D596" s="37"/>
      <c r="E596" s="38"/>
    </row>
    <row r="597" spans="1:5" ht="18">
      <c r="A597" s="36"/>
      <c r="C597" s="37"/>
      <c r="D597" s="37"/>
      <c r="E597" s="38"/>
    </row>
    <row r="598" spans="1:5" ht="18">
      <c r="A598" s="36"/>
      <c r="C598" s="37"/>
      <c r="D598" s="37"/>
      <c r="E598" s="38"/>
    </row>
    <row r="599" spans="1:5" ht="18">
      <c r="A599" s="36"/>
      <c r="C599" s="37"/>
      <c r="D599" s="37"/>
      <c r="E599" s="38"/>
    </row>
    <row r="600" spans="1:5" ht="18">
      <c r="A600" s="36"/>
      <c r="C600" s="37"/>
      <c r="D600" s="37"/>
      <c r="E600" s="38"/>
    </row>
    <row r="601" spans="1:5" ht="18">
      <c r="A601" s="36"/>
      <c r="C601" s="37"/>
      <c r="D601" s="37"/>
      <c r="E601" s="38"/>
    </row>
    <row r="602" spans="1:5" ht="18">
      <c r="A602" s="36"/>
      <c r="C602" s="37"/>
      <c r="D602" s="37"/>
      <c r="E602" s="38"/>
    </row>
    <row r="603" spans="1:5" ht="18">
      <c r="A603" s="36"/>
      <c r="C603" s="37"/>
      <c r="D603" s="37"/>
      <c r="E603" s="38"/>
    </row>
    <row r="604" spans="1:5" ht="18">
      <c r="A604" s="36"/>
      <c r="C604" s="37"/>
      <c r="D604" s="37"/>
      <c r="E604" s="38"/>
    </row>
    <row r="605" spans="1:5" ht="18">
      <c r="A605" s="36"/>
      <c r="C605" s="37"/>
      <c r="D605" s="37"/>
      <c r="E605" s="38"/>
    </row>
    <row r="606" spans="1:5" ht="18">
      <c r="A606" s="36"/>
      <c r="C606" s="37"/>
      <c r="D606" s="37"/>
      <c r="E606" s="38"/>
    </row>
    <row r="607" spans="1:5" ht="18">
      <c r="A607" s="36"/>
      <c r="C607" s="37"/>
      <c r="D607" s="37"/>
      <c r="E607" s="38"/>
    </row>
    <row r="608" spans="1:5" ht="18">
      <c r="A608" s="36"/>
      <c r="C608" s="37"/>
      <c r="D608" s="37"/>
      <c r="E608" s="38"/>
    </row>
    <row r="609" spans="1:5" ht="18">
      <c r="A609" s="36"/>
      <c r="C609" s="37"/>
      <c r="D609" s="37"/>
      <c r="E609" s="38"/>
    </row>
    <row r="610" spans="1:5" ht="18">
      <c r="A610" s="36"/>
      <c r="C610" s="37"/>
      <c r="D610" s="37"/>
      <c r="E610" s="38"/>
    </row>
    <row r="611" spans="1:5" ht="18">
      <c r="A611" s="36"/>
      <c r="C611" s="37"/>
      <c r="D611" s="37"/>
      <c r="E611" s="38"/>
    </row>
    <row r="612" spans="1:5" ht="18">
      <c r="A612" s="36"/>
      <c r="C612" s="37"/>
      <c r="D612" s="37"/>
      <c r="E612" s="38"/>
    </row>
    <row r="613" spans="1:5" ht="18">
      <c r="A613" s="36"/>
      <c r="C613" s="37"/>
      <c r="D613" s="37"/>
      <c r="E613" s="38"/>
    </row>
    <row r="614" spans="1:5" ht="18">
      <c r="A614" s="36"/>
      <c r="C614" s="37"/>
      <c r="D614" s="37"/>
      <c r="E614" s="38"/>
    </row>
    <row r="615" spans="1:5" ht="18">
      <c r="A615" s="36"/>
      <c r="C615" s="37"/>
      <c r="D615" s="37"/>
      <c r="E615" s="38"/>
    </row>
    <row r="616" spans="1:5" ht="18">
      <c r="A616" s="36"/>
      <c r="C616" s="37"/>
      <c r="D616" s="37"/>
      <c r="E616" s="38"/>
    </row>
    <row r="617" spans="1:5" ht="18">
      <c r="A617" s="36"/>
      <c r="C617" s="37"/>
      <c r="D617" s="37"/>
      <c r="E617" s="38"/>
    </row>
    <row r="618" spans="1:5" ht="18">
      <c r="A618" s="36"/>
      <c r="C618" s="37"/>
      <c r="D618" s="37"/>
      <c r="E618" s="38"/>
    </row>
    <row r="619" spans="1:5" ht="18">
      <c r="A619" s="36"/>
      <c r="C619" s="37"/>
      <c r="D619" s="37"/>
      <c r="E619" s="38"/>
    </row>
    <row r="620" spans="1:5" ht="18">
      <c r="A620" s="36"/>
      <c r="C620" s="37"/>
      <c r="D620" s="37"/>
      <c r="E620" s="38"/>
    </row>
    <row r="621" spans="1:5" ht="18">
      <c r="A621" s="36"/>
      <c r="C621" s="37"/>
      <c r="D621" s="37"/>
      <c r="E621" s="38"/>
    </row>
    <row r="622" spans="1:5" ht="18">
      <c r="A622" s="36"/>
      <c r="C622" s="37"/>
      <c r="D622" s="37"/>
      <c r="E622" s="38"/>
    </row>
    <row r="623" spans="1:5" ht="18">
      <c r="A623" s="36"/>
      <c r="C623" s="37"/>
      <c r="D623" s="37"/>
      <c r="E623" s="38"/>
    </row>
    <row r="624" spans="1:5" ht="18">
      <c r="A624" s="36"/>
      <c r="C624" s="37"/>
      <c r="D624" s="37"/>
      <c r="E624" s="38"/>
    </row>
    <row r="625" spans="1:5" ht="18">
      <c r="A625" s="36"/>
      <c r="C625" s="37"/>
      <c r="D625" s="37"/>
      <c r="E625" s="38"/>
    </row>
    <row r="626" spans="1:5" ht="18">
      <c r="A626" s="36"/>
      <c r="C626" s="37"/>
      <c r="D626" s="37"/>
      <c r="E626" s="38"/>
    </row>
    <row r="627" spans="1:5" ht="18">
      <c r="A627" s="36"/>
      <c r="C627" s="37"/>
      <c r="D627" s="37"/>
      <c r="E627" s="38"/>
    </row>
    <row r="628" spans="1:5" ht="18">
      <c r="A628" s="36"/>
      <c r="C628" s="37"/>
      <c r="D628" s="37"/>
      <c r="E628" s="38"/>
    </row>
    <row r="629" spans="1:5" ht="18">
      <c r="A629" s="36"/>
      <c r="C629" s="37"/>
      <c r="D629" s="37"/>
      <c r="E629" s="38"/>
    </row>
    <row r="630" spans="1:5" ht="18">
      <c r="A630" s="36"/>
      <c r="C630" s="37"/>
      <c r="D630" s="37"/>
      <c r="E630" s="38"/>
    </row>
    <row r="631" spans="1:5" ht="18">
      <c r="A631" s="36"/>
      <c r="C631" s="37"/>
      <c r="D631" s="37"/>
      <c r="E631" s="38"/>
    </row>
    <row r="632" spans="1:5" ht="18">
      <c r="A632" s="36"/>
      <c r="C632" s="37"/>
      <c r="D632" s="37"/>
      <c r="E632" s="38"/>
    </row>
    <row r="633" spans="1:5" ht="18">
      <c r="A633" s="36"/>
      <c r="C633" s="37"/>
      <c r="D633" s="37"/>
      <c r="E633" s="38"/>
    </row>
    <row r="634" spans="1:5" ht="18">
      <c r="A634" s="36"/>
      <c r="C634" s="37"/>
      <c r="D634" s="37"/>
      <c r="E634" s="38"/>
    </row>
    <row r="635" spans="1:5" ht="18">
      <c r="A635" s="36"/>
      <c r="C635" s="37"/>
      <c r="D635" s="37"/>
      <c r="E635" s="38"/>
    </row>
    <row r="636" spans="1:5" ht="18">
      <c r="A636" s="36"/>
      <c r="C636" s="37"/>
      <c r="D636" s="37"/>
      <c r="E636" s="38"/>
    </row>
    <row r="637" spans="1:5" ht="18">
      <c r="A637" s="36"/>
      <c r="C637" s="37"/>
      <c r="D637" s="37"/>
      <c r="E637" s="38"/>
    </row>
    <row r="638" spans="1:5" ht="18">
      <c r="A638" s="36"/>
      <c r="C638" s="37"/>
      <c r="D638" s="37"/>
      <c r="E638" s="38"/>
    </row>
    <row r="639" spans="1:5" ht="18">
      <c r="A639" s="36"/>
      <c r="C639" s="37"/>
      <c r="D639" s="37"/>
      <c r="E639" s="38"/>
    </row>
    <row r="640" spans="1:5" ht="18">
      <c r="A640" s="36"/>
      <c r="C640" s="37"/>
      <c r="D640" s="37"/>
      <c r="E640" s="38"/>
    </row>
    <row r="641" spans="1:5" ht="18">
      <c r="A641" s="36"/>
      <c r="C641" s="37"/>
      <c r="D641" s="37"/>
      <c r="E641" s="38"/>
    </row>
    <row r="642" spans="1:5" ht="18">
      <c r="A642" s="36"/>
      <c r="C642" s="37"/>
      <c r="D642" s="37"/>
      <c r="E642" s="38"/>
    </row>
    <row r="643" spans="1:5" ht="18">
      <c r="A643" s="36"/>
      <c r="C643" s="37"/>
      <c r="D643" s="37"/>
      <c r="E643" s="38"/>
    </row>
    <row r="644" spans="1:5" ht="18">
      <c r="A644" s="36"/>
      <c r="C644" s="37"/>
      <c r="D644" s="37"/>
      <c r="E644" s="38"/>
    </row>
    <row r="645" spans="1:5" ht="18">
      <c r="A645" s="36"/>
      <c r="C645" s="37"/>
      <c r="D645" s="37"/>
      <c r="E645" s="38"/>
    </row>
    <row r="646" spans="1:5" ht="18">
      <c r="A646" s="36"/>
      <c r="C646" s="37"/>
      <c r="D646" s="37"/>
      <c r="E646" s="38"/>
    </row>
    <row r="647" spans="1:5" ht="18">
      <c r="A647" s="36"/>
      <c r="C647" s="37"/>
      <c r="D647" s="37"/>
      <c r="E647" s="38"/>
    </row>
    <row r="648" spans="1:5" ht="18">
      <c r="A648" s="36"/>
      <c r="C648" s="37"/>
      <c r="D648" s="37"/>
      <c r="E648" s="38"/>
    </row>
    <row r="649" spans="1:5" ht="18">
      <c r="A649" s="36"/>
      <c r="C649" s="37"/>
      <c r="D649" s="37"/>
      <c r="E649" s="38"/>
    </row>
    <row r="650" spans="1:5" ht="18">
      <c r="A650" s="36"/>
      <c r="C650" s="37"/>
      <c r="D650" s="37"/>
      <c r="E650" s="38"/>
    </row>
    <row r="651" spans="1:5" ht="18">
      <c r="A651" s="36"/>
      <c r="C651" s="37"/>
      <c r="D651" s="37"/>
      <c r="E651" s="38"/>
    </row>
    <row r="652" spans="1:5" ht="18">
      <c r="A652" s="36"/>
      <c r="C652" s="37"/>
      <c r="D652" s="37"/>
      <c r="E652" s="38"/>
    </row>
    <row r="653" spans="1:5" ht="18">
      <c r="A653" s="36"/>
      <c r="C653" s="37"/>
      <c r="D653" s="37"/>
      <c r="E653" s="38"/>
    </row>
    <row r="654" spans="1:5" ht="18">
      <c r="A654" s="36"/>
      <c r="C654" s="37"/>
      <c r="D654" s="37"/>
      <c r="E654" s="38"/>
    </row>
    <row r="655" spans="1:5" ht="18">
      <c r="A655" s="36"/>
      <c r="C655" s="37"/>
      <c r="D655" s="37"/>
      <c r="E655" s="38"/>
    </row>
    <row r="656" spans="1:5" ht="18">
      <c r="A656" s="36"/>
      <c r="C656" s="37"/>
      <c r="D656" s="37"/>
      <c r="E656" s="38"/>
    </row>
    <row r="657" spans="1:5" ht="18">
      <c r="A657" s="36"/>
      <c r="C657" s="37"/>
      <c r="D657" s="37"/>
      <c r="E657" s="38"/>
    </row>
    <row r="658" spans="1:5" ht="18">
      <c r="A658" s="36"/>
      <c r="C658" s="37"/>
      <c r="D658" s="37"/>
      <c r="E658" s="38"/>
    </row>
    <row r="659" spans="1:5" ht="18">
      <c r="A659" s="36"/>
      <c r="C659" s="37"/>
      <c r="D659" s="37"/>
      <c r="E659" s="38"/>
    </row>
    <row r="660" spans="1:5" ht="18">
      <c r="A660" s="36"/>
      <c r="C660" s="37"/>
      <c r="D660" s="37"/>
      <c r="E660" s="38"/>
    </row>
    <row r="661" spans="1:5" ht="18">
      <c r="A661" s="36"/>
      <c r="C661" s="37"/>
      <c r="D661" s="37"/>
      <c r="E661" s="38"/>
    </row>
    <row r="662" spans="1:5" ht="18">
      <c r="A662" s="36"/>
      <c r="C662" s="37"/>
      <c r="D662" s="37"/>
      <c r="E662" s="38"/>
    </row>
    <row r="663" spans="1:5" ht="18">
      <c r="A663" s="36"/>
      <c r="C663" s="37"/>
      <c r="D663" s="37"/>
      <c r="E663" s="38"/>
    </row>
    <row r="664" spans="1:5" ht="18">
      <c r="A664" s="36"/>
      <c r="C664" s="37"/>
      <c r="D664" s="37"/>
      <c r="E664" s="38"/>
    </row>
    <row r="665" spans="1:5" ht="18">
      <c r="A665" s="36"/>
      <c r="C665" s="37"/>
      <c r="D665" s="37"/>
      <c r="E665" s="38"/>
    </row>
    <row r="666" spans="1:5" ht="18">
      <c r="A666" s="36"/>
      <c r="C666" s="37"/>
      <c r="D666" s="37"/>
      <c r="E666" s="38"/>
    </row>
    <row r="667" spans="1:5" ht="18">
      <c r="A667" s="36"/>
      <c r="C667" s="37"/>
      <c r="D667" s="37"/>
      <c r="E667" s="38"/>
    </row>
    <row r="668" spans="1:5" ht="18">
      <c r="A668" s="36"/>
      <c r="C668" s="37"/>
      <c r="D668" s="37"/>
      <c r="E668" s="38"/>
    </row>
    <row r="669" spans="1:5" ht="18">
      <c r="A669" s="36"/>
      <c r="C669" s="37"/>
      <c r="D669" s="37"/>
      <c r="E669" s="38"/>
    </row>
    <row r="670" spans="1:5" ht="18">
      <c r="A670" s="36"/>
      <c r="C670" s="37"/>
      <c r="D670" s="37"/>
      <c r="E670" s="38"/>
    </row>
    <row r="671" spans="1:5" ht="18">
      <c r="A671" s="36"/>
      <c r="C671" s="37"/>
      <c r="D671" s="37"/>
      <c r="E671" s="38"/>
    </row>
    <row r="672" spans="1:5" ht="18">
      <c r="A672" s="36"/>
      <c r="C672" s="37"/>
      <c r="D672" s="37"/>
      <c r="E672" s="38"/>
    </row>
    <row r="673" spans="1:5" ht="18">
      <c r="A673" s="36"/>
      <c r="C673" s="37"/>
      <c r="D673" s="37"/>
      <c r="E673" s="38"/>
    </row>
    <row r="674" spans="1:5" ht="18">
      <c r="A674" s="36"/>
      <c r="C674" s="37"/>
      <c r="D674" s="37"/>
      <c r="E674" s="38"/>
    </row>
    <row r="675" spans="1:5" ht="18">
      <c r="A675" s="36"/>
      <c r="C675" s="37"/>
      <c r="D675" s="37"/>
      <c r="E675" s="38"/>
    </row>
    <row r="676" spans="1:5" ht="18">
      <c r="A676" s="36"/>
      <c r="C676" s="37"/>
      <c r="D676" s="37"/>
      <c r="E676" s="38"/>
    </row>
    <row r="677" spans="1:5" ht="18">
      <c r="A677" s="36"/>
      <c r="C677" s="37"/>
      <c r="D677" s="37"/>
      <c r="E677" s="38"/>
    </row>
    <row r="678" spans="1:5" ht="18">
      <c r="A678" s="36"/>
      <c r="C678" s="37"/>
      <c r="D678" s="37"/>
      <c r="E678" s="38"/>
    </row>
    <row r="679" spans="1:5" ht="18">
      <c r="A679" s="36"/>
      <c r="C679" s="37"/>
      <c r="D679" s="37"/>
      <c r="E679" s="38"/>
    </row>
    <row r="680" spans="1:5" ht="18">
      <c r="A680" s="36"/>
      <c r="C680" s="37"/>
      <c r="D680" s="37"/>
      <c r="E680" s="38"/>
    </row>
    <row r="681" spans="1:5" ht="18">
      <c r="A681" s="36"/>
      <c r="C681" s="37"/>
      <c r="D681" s="37"/>
      <c r="E681" s="38"/>
    </row>
    <row r="682" spans="1:5" ht="18">
      <c r="A682" s="36"/>
      <c r="C682" s="37"/>
      <c r="D682" s="37"/>
      <c r="E682" s="38"/>
    </row>
    <row r="683" spans="1:5" ht="18">
      <c r="A683" s="36"/>
      <c r="C683" s="37"/>
      <c r="D683" s="37"/>
      <c r="E683" s="38"/>
    </row>
    <row r="684" spans="1:5" ht="18">
      <c r="A684" s="36"/>
      <c r="C684" s="37"/>
      <c r="D684" s="37"/>
      <c r="E684" s="38"/>
    </row>
    <row r="685" spans="1:5" ht="18">
      <c r="A685" s="36"/>
      <c r="C685" s="37"/>
      <c r="D685" s="37"/>
      <c r="E685" s="38"/>
    </row>
    <row r="686" spans="1:5" ht="18">
      <c r="A686" s="36"/>
      <c r="C686" s="37"/>
      <c r="D686" s="37"/>
      <c r="E686" s="38"/>
    </row>
    <row r="687" spans="1:5" ht="18">
      <c r="A687" s="36"/>
      <c r="C687" s="37"/>
      <c r="D687" s="37"/>
      <c r="E687" s="38"/>
    </row>
    <row r="688" spans="1:5" ht="18">
      <c r="A688" s="36"/>
      <c r="C688" s="37"/>
      <c r="D688" s="37"/>
      <c r="E688" s="38"/>
    </row>
    <row r="689" spans="1:5" ht="18">
      <c r="A689" s="36"/>
      <c r="C689" s="37"/>
      <c r="D689" s="37"/>
      <c r="E689" s="38"/>
    </row>
    <row r="690" spans="1:5" ht="18">
      <c r="A690" s="36"/>
      <c r="C690" s="37"/>
      <c r="D690" s="37"/>
      <c r="E690" s="38"/>
    </row>
    <row r="691" spans="1:5" ht="18">
      <c r="A691" s="36"/>
      <c r="C691" s="37"/>
      <c r="D691" s="37"/>
      <c r="E691" s="38"/>
    </row>
    <row r="692" spans="1:5" ht="18">
      <c r="A692" s="36"/>
      <c r="C692" s="37"/>
      <c r="D692" s="37"/>
      <c r="E692" s="38"/>
    </row>
    <row r="693" spans="1:5" ht="18">
      <c r="A693" s="36"/>
      <c r="C693" s="37"/>
      <c r="D693" s="37"/>
      <c r="E693" s="38"/>
    </row>
    <row r="694" spans="1:5" ht="18">
      <c r="A694" s="36"/>
      <c r="C694" s="37"/>
      <c r="D694" s="37"/>
      <c r="E694" s="38"/>
    </row>
    <row r="695" spans="1:5" ht="18">
      <c r="A695" s="36"/>
      <c r="C695" s="37"/>
      <c r="D695" s="37"/>
      <c r="E695" s="38"/>
    </row>
    <row r="696" spans="1:5" ht="18">
      <c r="A696" s="36"/>
      <c r="C696" s="37"/>
      <c r="D696" s="37"/>
      <c r="E696" s="38"/>
    </row>
    <row r="697" spans="1:5" ht="18">
      <c r="A697" s="36"/>
      <c r="C697" s="37"/>
      <c r="D697" s="37"/>
      <c r="E697" s="38"/>
    </row>
    <row r="698" spans="1:5" ht="18">
      <c r="A698" s="36"/>
      <c r="C698" s="37"/>
      <c r="D698" s="37"/>
      <c r="E698" s="38"/>
    </row>
    <row r="699" spans="1:5" ht="18">
      <c r="A699" s="36"/>
      <c r="C699" s="37"/>
      <c r="D699" s="37"/>
      <c r="E699" s="38"/>
    </row>
    <row r="700" spans="1:5" ht="18">
      <c r="A700" s="36"/>
      <c r="C700" s="37"/>
      <c r="D700" s="37"/>
      <c r="E700" s="38"/>
    </row>
    <row r="701" spans="1:5" ht="18">
      <c r="A701" s="36"/>
      <c r="C701" s="37"/>
      <c r="D701" s="37"/>
      <c r="E701" s="38"/>
    </row>
    <row r="702" spans="1:5" ht="18">
      <c r="A702" s="36"/>
      <c r="C702" s="37"/>
      <c r="D702" s="37"/>
      <c r="E702" s="38"/>
    </row>
    <row r="703" spans="1:5" ht="18">
      <c r="A703" s="36"/>
      <c r="C703" s="37"/>
      <c r="D703" s="37"/>
      <c r="E703" s="38"/>
    </row>
    <row r="704" spans="1:5" ht="18">
      <c r="A704" s="36"/>
      <c r="C704" s="37"/>
      <c r="D704" s="37"/>
      <c r="E704" s="38"/>
    </row>
    <row r="705" spans="1:5" ht="18">
      <c r="A705" s="36"/>
      <c r="C705" s="37"/>
      <c r="D705" s="37"/>
      <c r="E705" s="38"/>
    </row>
    <row r="706" spans="1:5" ht="18">
      <c r="A706" s="36"/>
      <c r="C706" s="37"/>
      <c r="D706" s="37"/>
      <c r="E706" s="38"/>
    </row>
    <row r="707" spans="1:5" ht="18">
      <c r="A707" s="36"/>
      <c r="C707" s="37"/>
      <c r="D707" s="37"/>
      <c r="E707" s="38"/>
    </row>
    <row r="708" spans="1:5" ht="18">
      <c r="A708" s="36"/>
      <c r="C708" s="37"/>
      <c r="D708" s="37"/>
      <c r="E708" s="38"/>
    </row>
    <row r="709" spans="1:5" ht="18">
      <c r="A709" s="36"/>
      <c r="C709" s="37"/>
      <c r="D709" s="37"/>
      <c r="E709" s="38"/>
    </row>
    <row r="710" spans="1:5" ht="18">
      <c r="A710" s="36"/>
      <c r="C710" s="37"/>
      <c r="D710" s="37"/>
      <c r="E710" s="38"/>
    </row>
    <row r="711" spans="1:5" ht="18">
      <c r="A711" s="36"/>
      <c r="C711" s="37"/>
      <c r="D711" s="37"/>
      <c r="E711" s="38"/>
    </row>
    <row r="712" spans="1:5" ht="18">
      <c r="A712" s="36"/>
      <c r="C712" s="37"/>
      <c r="D712" s="37"/>
      <c r="E712" s="38"/>
    </row>
    <row r="713" spans="1:5" ht="18">
      <c r="A713" s="36"/>
      <c r="C713" s="37"/>
      <c r="D713" s="37"/>
      <c r="E713" s="38"/>
    </row>
    <row r="714" spans="1:5" ht="18">
      <c r="A714" s="36"/>
      <c r="C714" s="37"/>
      <c r="D714" s="37"/>
      <c r="E714" s="38"/>
    </row>
    <row r="715" spans="1:5" ht="18">
      <c r="A715" s="36"/>
      <c r="C715" s="37"/>
      <c r="D715" s="37"/>
      <c r="E715" s="38"/>
    </row>
    <row r="716" spans="1:5" ht="18">
      <c r="A716" s="36"/>
      <c r="C716" s="37"/>
      <c r="D716" s="37"/>
      <c r="E716" s="38"/>
    </row>
    <row r="717" spans="1:5" ht="18">
      <c r="A717" s="36"/>
      <c r="C717" s="37"/>
      <c r="D717" s="37"/>
      <c r="E717" s="38"/>
    </row>
    <row r="718" spans="1:5" ht="18">
      <c r="A718" s="36"/>
      <c r="C718" s="37"/>
      <c r="D718" s="37"/>
      <c r="E718" s="38"/>
    </row>
    <row r="719" spans="1:5" ht="18">
      <c r="A719" s="36"/>
      <c r="C719" s="37"/>
      <c r="D719" s="37"/>
      <c r="E719" s="38"/>
    </row>
    <row r="720" spans="1:5" ht="18">
      <c r="A720" s="36"/>
      <c r="C720" s="37"/>
      <c r="D720" s="37"/>
      <c r="E720" s="38"/>
    </row>
    <row r="721" spans="1:5" ht="18">
      <c r="A721" s="36"/>
      <c r="C721" s="37"/>
      <c r="D721" s="37"/>
      <c r="E721" s="38"/>
    </row>
    <row r="722" spans="1:5" ht="18">
      <c r="A722" s="36"/>
      <c r="C722" s="37"/>
      <c r="D722" s="37"/>
      <c r="E722" s="38"/>
    </row>
    <row r="723" spans="1:5" ht="18">
      <c r="A723" s="36"/>
      <c r="C723" s="37"/>
      <c r="D723" s="37"/>
      <c r="E723" s="38"/>
    </row>
    <row r="724" spans="1:5" ht="18">
      <c r="A724" s="36"/>
      <c r="C724" s="37"/>
      <c r="D724" s="37"/>
      <c r="E724" s="38"/>
    </row>
    <row r="725" spans="1:5" ht="18">
      <c r="A725" s="36"/>
      <c r="C725" s="37"/>
      <c r="D725" s="37"/>
      <c r="E725" s="38"/>
    </row>
    <row r="726" spans="1:5" ht="18">
      <c r="A726" s="36"/>
      <c r="C726" s="37"/>
      <c r="D726" s="37"/>
      <c r="E726" s="38"/>
    </row>
    <row r="727" spans="1:5" ht="18">
      <c r="A727" s="36"/>
      <c r="C727" s="37"/>
      <c r="D727" s="37"/>
      <c r="E727" s="38"/>
    </row>
    <row r="728" spans="1:5" ht="18">
      <c r="A728" s="36"/>
      <c r="C728" s="37"/>
      <c r="D728" s="37"/>
      <c r="E728" s="38"/>
    </row>
    <row r="729" spans="1:5" ht="18">
      <c r="A729" s="36"/>
      <c r="C729" s="37"/>
      <c r="D729" s="37"/>
      <c r="E729" s="38"/>
    </row>
    <row r="730" spans="1:5" ht="18">
      <c r="A730" s="36"/>
      <c r="C730" s="37"/>
      <c r="D730" s="37"/>
      <c r="E730" s="38"/>
    </row>
    <row r="731" spans="1:5" ht="18">
      <c r="A731" s="36"/>
      <c r="C731" s="37"/>
      <c r="D731" s="37"/>
      <c r="E731" s="38"/>
    </row>
    <row r="732" spans="1:5" ht="18">
      <c r="A732" s="36"/>
      <c r="C732" s="37"/>
      <c r="D732" s="37"/>
      <c r="E732" s="38"/>
    </row>
    <row r="733" spans="1:5" ht="18">
      <c r="A733" s="36"/>
      <c r="C733" s="37"/>
      <c r="D733" s="37"/>
      <c r="E733" s="38"/>
    </row>
    <row r="734" spans="1:5" ht="18">
      <c r="A734" s="36"/>
      <c r="C734" s="37"/>
      <c r="D734" s="37"/>
      <c r="E734" s="38"/>
    </row>
    <row r="735" spans="1:5" ht="18">
      <c r="A735" s="36"/>
      <c r="C735" s="37"/>
      <c r="D735" s="37"/>
      <c r="E735" s="38"/>
    </row>
    <row r="736" spans="1:5" ht="18">
      <c r="A736" s="36"/>
      <c r="C736" s="37"/>
      <c r="D736" s="37"/>
      <c r="E736" s="38"/>
    </row>
    <row r="737" spans="1:5" ht="18">
      <c r="A737" s="36"/>
      <c r="C737" s="37"/>
      <c r="D737" s="37"/>
      <c r="E737" s="38"/>
    </row>
    <row r="738" spans="1:5" ht="18">
      <c r="A738" s="36"/>
      <c r="C738" s="37"/>
      <c r="D738" s="37"/>
      <c r="E738" s="38"/>
    </row>
    <row r="739" spans="1:5" ht="18">
      <c r="A739" s="36"/>
      <c r="C739" s="37"/>
      <c r="D739" s="37"/>
      <c r="E739" s="38"/>
    </row>
    <row r="740" spans="1:5" ht="18">
      <c r="A740" s="36"/>
      <c r="C740" s="37"/>
      <c r="D740" s="37"/>
      <c r="E740" s="38"/>
    </row>
    <row r="741" spans="1:5" ht="18">
      <c r="A741" s="36"/>
      <c r="C741" s="37"/>
      <c r="D741" s="37"/>
      <c r="E741" s="38"/>
    </row>
    <row r="742" spans="1:5" ht="18">
      <c r="A742" s="36"/>
      <c r="C742" s="37"/>
      <c r="D742" s="37"/>
      <c r="E742" s="38"/>
    </row>
    <row r="743" spans="1:5" ht="18">
      <c r="A743" s="36"/>
      <c r="C743" s="37"/>
      <c r="D743" s="37"/>
      <c r="E743" s="38"/>
    </row>
    <row r="744" spans="1:5" ht="18">
      <c r="A744" s="36"/>
      <c r="C744" s="37"/>
      <c r="D744" s="37"/>
      <c r="E744" s="38"/>
    </row>
    <row r="745" spans="1:5" ht="18">
      <c r="A745" s="36"/>
      <c r="C745" s="37"/>
      <c r="D745" s="37"/>
      <c r="E745" s="38"/>
    </row>
    <row r="746" spans="1:5" ht="18">
      <c r="A746" s="36"/>
      <c r="C746" s="37"/>
      <c r="D746" s="37"/>
      <c r="E746" s="38"/>
    </row>
    <row r="747" spans="1:5" ht="18">
      <c r="A747" s="36"/>
      <c r="C747" s="37"/>
      <c r="D747" s="37"/>
      <c r="E747" s="38"/>
    </row>
    <row r="748" spans="1:5" ht="18">
      <c r="A748" s="36"/>
      <c r="C748" s="37"/>
      <c r="D748" s="37"/>
      <c r="E748" s="38"/>
    </row>
    <row r="749" spans="1:5" ht="18">
      <c r="A749" s="36"/>
      <c r="C749" s="37"/>
      <c r="D749" s="37"/>
      <c r="E749" s="38"/>
    </row>
    <row r="750" spans="1:5" ht="18">
      <c r="A750" s="36"/>
      <c r="C750" s="37"/>
      <c r="D750" s="37"/>
      <c r="E750" s="38"/>
    </row>
    <row r="751" spans="1:5" ht="18">
      <c r="A751" s="36"/>
      <c r="C751" s="37"/>
      <c r="D751" s="37"/>
      <c r="E751" s="38"/>
    </row>
    <row r="752" spans="1:5" ht="18">
      <c r="A752" s="36"/>
      <c r="C752" s="37"/>
      <c r="D752" s="37"/>
      <c r="E752" s="38"/>
    </row>
    <row r="753" spans="1:5" ht="18">
      <c r="A753" s="36"/>
      <c r="C753" s="37"/>
      <c r="D753" s="37"/>
      <c r="E753" s="38"/>
    </row>
    <row r="754" spans="1:5" ht="18">
      <c r="A754" s="36"/>
      <c r="C754" s="37"/>
      <c r="D754" s="37"/>
      <c r="E754" s="38"/>
    </row>
    <row r="755" spans="1:5" ht="18">
      <c r="A755" s="39"/>
      <c r="C755" s="37"/>
      <c r="D755" s="37"/>
      <c r="E755" s="38"/>
    </row>
    <row r="756" spans="1:5" ht="18">
      <c r="A756" s="39"/>
      <c r="C756" s="37"/>
      <c r="D756" s="37"/>
      <c r="E756" s="38"/>
    </row>
    <row r="757" spans="1:5" ht="18">
      <c r="A757" s="39"/>
      <c r="C757" s="37"/>
      <c r="D757" s="37"/>
      <c r="E757" s="38"/>
    </row>
    <row r="758" spans="1:5" ht="18">
      <c r="A758" s="39"/>
      <c r="C758" s="37"/>
      <c r="D758" s="37"/>
      <c r="E758" s="38"/>
    </row>
    <row r="759" spans="1:5" ht="18">
      <c r="A759" s="39"/>
      <c r="C759" s="37"/>
      <c r="D759" s="37"/>
      <c r="E759" s="38"/>
    </row>
    <row r="760" spans="1:5" ht="18">
      <c r="A760" s="39"/>
      <c r="C760" s="37"/>
      <c r="D760" s="37"/>
      <c r="E760" s="38"/>
    </row>
    <row r="761" spans="1:5" ht="18">
      <c r="A761" s="39"/>
      <c r="C761" s="37"/>
      <c r="D761" s="37"/>
      <c r="E761" s="38"/>
    </row>
    <row r="762" spans="1:5" ht="18">
      <c r="A762" s="39"/>
      <c r="C762" s="37"/>
      <c r="D762" s="37"/>
      <c r="E762" s="38"/>
    </row>
    <row r="763" spans="1:5" ht="18">
      <c r="A763" s="39"/>
      <c r="C763" s="37"/>
      <c r="D763" s="37"/>
      <c r="E763" s="38"/>
    </row>
    <row r="764" spans="1:5" ht="18">
      <c r="A764" s="39"/>
      <c r="C764" s="37"/>
      <c r="D764" s="37"/>
      <c r="E764" s="38"/>
    </row>
    <row r="765" spans="1:5" ht="18">
      <c r="A765" s="39"/>
      <c r="C765" s="37"/>
      <c r="D765" s="37"/>
      <c r="E765" s="38"/>
    </row>
    <row r="766" spans="1:5" ht="18">
      <c r="A766" s="39"/>
      <c r="C766" s="37"/>
      <c r="D766" s="37"/>
      <c r="E766" s="38"/>
    </row>
    <row r="767" spans="1:5" ht="18">
      <c r="A767" s="39"/>
      <c r="C767" s="37"/>
      <c r="D767" s="37"/>
      <c r="E767" s="38"/>
    </row>
    <row r="768" spans="1:5" ht="18">
      <c r="A768" s="39"/>
      <c r="C768" s="37"/>
      <c r="D768" s="37"/>
      <c r="E768" s="38"/>
    </row>
    <row r="769" spans="1:5" ht="18">
      <c r="A769" s="39"/>
      <c r="C769" s="37"/>
      <c r="D769" s="37"/>
      <c r="E769" s="38"/>
    </row>
    <row r="770" spans="1:5" ht="18">
      <c r="A770" s="39"/>
      <c r="C770" s="37"/>
      <c r="D770" s="37"/>
      <c r="E770" s="38"/>
    </row>
    <row r="771" spans="1:5" ht="18">
      <c r="A771" s="39"/>
      <c r="C771" s="37"/>
      <c r="D771" s="37"/>
      <c r="E771" s="38"/>
    </row>
    <row r="772" spans="1:5" ht="18">
      <c r="A772" s="39"/>
      <c r="C772" s="37"/>
      <c r="D772" s="37"/>
      <c r="E772" s="38"/>
    </row>
    <row r="773" spans="1:5" ht="18">
      <c r="A773" s="39"/>
      <c r="C773" s="37"/>
      <c r="D773" s="37"/>
      <c r="E773" s="38"/>
    </row>
    <row r="774" spans="1:5" ht="18">
      <c r="A774" s="39"/>
      <c r="C774" s="37"/>
      <c r="D774" s="37"/>
      <c r="E774" s="38"/>
    </row>
    <row r="775" spans="1:5" ht="18">
      <c r="A775" s="39"/>
      <c r="C775" s="37"/>
      <c r="D775" s="37"/>
      <c r="E775" s="38"/>
    </row>
    <row r="776" spans="1:5" ht="18">
      <c r="A776" s="39"/>
      <c r="C776" s="37"/>
      <c r="D776" s="37"/>
      <c r="E776" s="38"/>
    </row>
    <row r="777" spans="1:5" ht="18">
      <c r="A777" s="39"/>
      <c r="C777" s="37"/>
      <c r="D777" s="37"/>
      <c r="E777" s="38"/>
    </row>
    <row r="778" spans="1:5" ht="18">
      <c r="A778" s="39"/>
      <c r="C778" s="37"/>
      <c r="D778" s="37"/>
      <c r="E778" s="38"/>
    </row>
    <row r="779" spans="1:5" ht="18">
      <c r="A779" s="39"/>
      <c r="C779" s="37"/>
      <c r="D779" s="37"/>
      <c r="E779" s="38"/>
    </row>
    <row r="780" spans="1:5" ht="18">
      <c r="A780" s="39"/>
      <c r="C780" s="37"/>
      <c r="D780" s="37"/>
      <c r="E780" s="38"/>
    </row>
    <row r="781" spans="1:5" ht="18">
      <c r="A781" s="39"/>
      <c r="C781" s="37"/>
      <c r="D781" s="37"/>
      <c r="E781" s="38"/>
    </row>
    <row r="782" spans="1:5" ht="18">
      <c r="A782" s="39"/>
      <c r="C782" s="37"/>
      <c r="D782" s="37"/>
      <c r="E782" s="38"/>
    </row>
    <row r="783" spans="1:5" ht="18">
      <c r="A783" s="39"/>
      <c r="C783" s="37"/>
      <c r="D783" s="37"/>
      <c r="E783" s="38"/>
    </row>
    <row r="784" spans="1:5" ht="18">
      <c r="A784" s="39"/>
      <c r="C784" s="37"/>
      <c r="D784" s="37"/>
      <c r="E784" s="38"/>
    </row>
    <row r="785" spans="1:5" ht="18">
      <c r="A785" s="39"/>
      <c r="C785" s="37"/>
      <c r="D785" s="37"/>
      <c r="E785" s="38"/>
    </row>
    <row r="786" spans="1:5" ht="18">
      <c r="A786" s="39"/>
      <c r="C786" s="37"/>
      <c r="D786" s="37"/>
      <c r="E786" s="38"/>
    </row>
    <row r="787" spans="1:5" ht="18">
      <c r="A787" s="39"/>
      <c r="C787" s="37"/>
      <c r="D787" s="37"/>
      <c r="E787" s="38"/>
    </row>
    <row r="788" spans="1:5" ht="18">
      <c r="A788" s="39"/>
      <c r="C788" s="37"/>
      <c r="D788" s="37"/>
      <c r="E788" s="38"/>
    </row>
    <row r="789" spans="1:5" ht="18">
      <c r="A789" s="39"/>
      <c r="C789" s="37"/>
      <c r="D789" s="37"/>
      <c r="E789" s="38"/>
    </row>
    <row r="790" spans="1:5" ht="18">
      <c r="A790" s="39"/>
      <c r="C790" s="37"/>
      <c r="D790" s="37"/>
      <c r="E790" s="38"/>
    </row>
    <row r="791" spans="1:5" ht="18">
      <c r="A791" s="39"/>
      <c r="C791" s="37"/>
      <c r="D791" s="37"/>
      <c r="E791" s="38"/>
    </row>
    <row r="792" spans="1:5" ht="18">
      <c r="A792" s="39"/>
      <c r="C792" s="37"/>
      <c r="D792" s="37"/>
      <c r="E792" s="38"/>
    </row>
    <row r="793" spans="1:5" ht="18">
      <c r="A793" s="39"/>
      <c r="C793" s="37"/>
      <c r="D793" s="37"/>
      <c r="E793" s="38"/>
    </row>
    <row r="794" spans="1:5" ht="18">
      <c r="A794" s="39"/>
      <c r="C794" s="37"/>
      <c r="D794" s="37"/>
      <c r="E794" s="38"/>
    </row>
    <row r="795" spans="1:5" ht="18">
      <c r="A795" s="39"/>
      <c r="C795" s="37"/>
      <c r="D795" s="37"/>
      <c r="E795" s="38"/>
    </row>
    <row r="796" spans="1:5" ht="18">
      <c r="A796" s="39"/>
      <c r="C796" s="37"/>
      <c r="D796" s="37"/>
      <c r="E796" s="38"/>
    </row>
    <row r="797" spans="1:5" ht="18">
      <c r="A797" s="39"/>
      <c r="C797" s="37"/>
      <c r="D797" s="37"/>
      <c r="E797" s="38"/>
    </row>
    <row r="798" spans="1:5" ht="18">
      <c r="A798" s="39"/>
      <c r="C798" s="37"/>
      <c r="D798" s="37"/>
      <c r="E798" s="38"/>
    </row>
    <row r="799" spans="1:5" ht="18">
      <c r="A799" s="39"/>
      <c r="C799" s="37"/>
      <c r="D799" s="37"/>
      <c r="E799" s="38"/>
    </row>
    <row r="800" spans="1:5" ht="18">
      <c r="A800" s="39"/>
      <c r="C800" s="37"/>
      <c r="D800" s="37"/>
      <c r="E800" s="38"/>
    </row>
    <row r="801" spans="1:5" ht="18">
      <c r="A801" s="39"/>
      <c r="C801" s="37"/>
      <c r="D801" s="37"/>
      <c r="E801" s="38"/>
    </row>
    <row r="802" spans="1:5" ht="18">
      <c r="A802" s="39"/>
      <c r="C802" s="37"/>
      <c r="D802" s="37"/>
      <c r="E802" s="38"/>
    </row>
    <row r="803" spans="1:5" ht="18">
      <c r="A803" s="39"/>
      <c r="C803" s="37"/>
      <c r="D803" s="37"/>
      <c r="E803" s="38"/>
    </row>
    <row r="804" spans="1:5" ht="18">
      <c r="A804" s="39"/>
      <c r="C804" s="37"/>
      <c r="D804" s="37"/>
      <c r="E804" s="38"/>
    </row>
    <row r="805" spans="1:5" ht="18">
      <c r="A805" s="39"/>
      <c r="C805" s="37"/>
      <c r="D805" s="37"/>
      <c r="E805" s="38"/>
    </row>
    <row r="806" spans="1:5" ht="18">
      <c r="A806" s="39"/>
      <c r="C806" s="37"/>
      <c r="D806" s="37"/>
      <c r="E806" s="38"/>
    </row>
    <row r="807" spans="1:5" ht="18">
      <c r="A807" s="39"/>
      <c r="C807" s="37"/>
      <c r="D807" s="37"/>
      <c r="E807" s="38"/>
    </row>
    <row r="808" spans="1:5" ht="18">
      <c r="A808" s="39"/>
      <c r="C808" s="37"/>
      <c r="D808" s="37"/>
      <c r="E808" s="38"/>
    </row>
    <row r="809" spans="1:5" ht="18">
      <c r="A809" s="39"/>
      <c r="C809" s="37"/>
      <c r="D809" s="37"/>
      <c r="E809" s="38"/>
    </row>
    <row r="810" spans="1:5" ht="18">
      <c r="A810" s="39"/>
      <c r="C810" s="37"/>
      <c r="D810" s="37"/>
      <c r="E810" s="38"/>
    </row>
    <row r="811" spans="1:5" ht="18">
      <c r="A811" s="39"/>
      <c r="C811" s="37"/>
      <c r="D811" s="37"/>
      <c r="E811" s="38"/>
    </row>
    <row r="812" spans="1:5" ht="18">
      <c r="A812" s="39"/>
      <c r="C812" s="37"/>
      <c r="D812" s="37"/>
      <c r="E812" s="38"/>
    </row>
    <row r="813" spans="1:5" ht="18">
      <c r="A813" s="39"/>
      <c r="C813" s="37"/>
      <c r="D813" s="37"/>
      <c r="E813" s="38"/>
    </row>
    <row r="814" spans="1:5" ht="18">
      <c r="A814" s="39"/>
      <c r="C814" s="37"/>
      <c r="D814" s="37"/>
      <c r="E814" s="38"/>
    </row>
    <row r="815" spans="1:5" ht="18">
      <c r="A815" s="39"/>
      <c r="C815" s="37"/>
      <c r="D815" s="37"/>
      <c r="E815" s="38"/>
    </row>
    <row r="816" spans="1:5" ht="18">
      <c r="A816" s="39"/>
      <c r="C816" s="37"/>
      <c r="D816" s="37"/>
      <c r="E816" s="38"/>
    </row>
    <row r="817" spans="1:5" ht="18">
      <c r="A817" s="39"/>
      <c r="C817" s="37"/>
      <c r="D817" s="37"/>
      <c r="E817" s="38"/>
    </row>
    <row r="818" spans="1:5" ht="18">
      <c r="A818" s="39"/>
      <c r="C818" s="37"/>
      <c r="D818" s="37"/>
      <c r="E818" s="38"/>
    </row>
    <row r="819" spans="1:5" ht="18">
      <c r="A819" s="39"/>
      <c r="C819" s="37"/>
      <c r="D819" s="37"/>
      <c r="E819" s="38"/>
    </row>
    <row r="820" spans="1:5" ht="18">
      <c r="A820" s="39"/>
      <c r="C820" s="37"/>
      <c r="D820" s="37"/>
      <c r="E820" s="38"/>
    </row>
    <row r="821" spans="1:5" ht="18">
      <c r="A821" s="39"/>
      <c r="C821" s="37"/>
      <c r="D821" s="37"/>
      <c r="E821" s="38"/>
    </row>
    <row r="822" spans="1:5" ht="18">
      <c r="A822" s="39"/>
      <c r="C822" s="37"/>
      <c r="D822" s="37"/>
      <c r="E822" s="38"/>
    </row>
    <row r="823" spans="1:5" ht="18">
      <c r="A823" s="39"/>
      <c r="C823" s="37"/>
      <c r="D823" s="37"/>
      <c r="E823" s="38"/>
    </row>
    <row r="824" spans="1:5" ht="18">
      <c r="A824" s="39"/>
      <c r="C824" s="37"/>
      <c r="D824" s="37"/>
      <c r="E824" s="38"/>
    </row>
    <row r="825" spans="1:5" ht="18">
      <c r="A825" s="39"/>
      <c r="C825" s="37"/>
      <c r="D825" s="37"/>
      <c r="E825" s="38"/>
    </row>
    <row r="826" spans="1:5" ht="18">
      <c r="A826" s="39"/>
      <c r="C826" s="37"/>
      <c r="D826" s="37"/>
      <c r="E826" s="38"/>
    </row>
    <row r="827" spans="1:5" ht="18">
      <c r="A827" s="39"/>
      <c r="C827" s="37"/>
      <c r="D827" s="37"/>
      <c r="E827" s="38"/>
    </row>
    <row r="828" spans="1:5" ht="18">
      <c r="A828" s="39"/>
      <c r="C828" s="37"/>
      <c r="D828" s="37"/>
      <c r="E828" s="38"/>
    </row>
    <row r="829" spans="1:5" ht="18">
      <c r="A829" s="39"/>
      <c r="C829" s="37"/>
      <c r="D829" s="37"/>
      <c r="E829" s="38"/>
    </row>
    <row r="830" spans="1:5" ht="18">
      <c r="A830" s="39"/>
      <c r="C830" s="37"/>
      <c r="D830" s="37"/>
      <c r="E830" s="38"/>
    </row>
    <row r="831" spans="1:5" ht="18">
      <c r="A831" s="39"/>
      <c r="C831" s="37"/>
      <c r="D831" s="37"/>
      <c r="E831" s="38"/>
    </row>
    <row r="832" spans="1:5" ht="18">
      <c r="A832" s="39"/>
      <c r="C832" s="37"/>
      <c r="D832" s="37"/>
      <c r="E832" s="38"/>
    </row>
    <row r="833" spans="1:5" ht="18">
      <c r="A833" s="39"/>
      <c r="C833" s="37"/>
      <c r="D833" s="37"/>
      <c r="E833" s="38"/>
    </row>
    <row r="834" spans="1:5" ht="18">
      <c r="A834" s="39"/>
      <c r="C834" s="37"/>
      <c r="D834" s="37"/>
      <c r="E834" s="38"/>
    </row>
    <row r="835" spans="1:5" ht="18">
      <c r="A835" s="39"/>
      <c r="C835" s="37"/>
      <c r="D835" s="37"/>
      <c r="E835" s="38"/>
    </row>
    <row r="836" spans="1:5" ht="18">
      <c r="A836" s="39"/>
      <c r="C836" s="37"/>
      <c r="D836" s="37"/>
      <c r="E836" s="38"/>
    </row>
    <row r="837" spans="1:5" ht="18">
      <c r="A837" s="39"/>
      <c r="C837" s="37"/>
      <c r="D837" s="37"/>
      <c r="E837" s="38"/>
    </row>
    <row r="838" spans="1:5" ht="18">
      <c r="A838" s="39"/>
      <c r="C838" s="37"/>
      <c r="D838" s="37"/>
      <c r="E838" s="38"/>
    </row>
    <row r="839" spans="1:5" ht="18">
      <c r="A839" s="39"/>
      <c r="C839" s="37"/>
      <c r="D839" s="37"/>
      <c r="E839" s="38"/>
    </row>
    <row r="840" spans="1:5" ht="18">
      <c r="A840" s="39"/>
      <c r="C840" s="37"/>
      <c r="D840" s="37"/>
      <c r="E840" s="38"/>
    </row>
    <row r="841" spans="1:5" ht="18">
      <c r="A841" s="39"/>
      <c r="C841" s="37"/>
      <c r="D841" s="37"/>
      <c r="E841" s="38"/>
    </row>
    <row r="842" spans="1:5" ht="18">
      <c r="A842" s="39"/>
      <c r="C842" s="37"/>
      <c r="D842" s="37"/>
      <c r="E842" s="38"/>
    </row>
    <row r="843" spans="1:5" ht="18">
      <c r="A843" s="39"/>
      <c r="C843" s="37"/>
      <c r="D843" s="37"/>
      <c r="E843" s="38"/>
    </row>
    <row r="844" spans="1:5" ht="18">
      <c r="A844" s="39"/>
      <c r="C844" s="37"/>
      <c r="D844" s="37"/>
      <c r="E844" s="38"/>
    </row>
    <row r="845" spans="1:5" ht="18">
      <c r="A845" s="39"/>
      <c r="C845" s="37"/>
      <c r="D845" s="37"/>
      <c r="E845" s="38"/>
    </row>
    <row r="846" spans="1:5" ht="18">
      <c r="A846" s="39"/>
      <c r="C846" s="37"/>
      <c r="D846" s="37"/>
      <c r="E846" s="38"/>
    </row>
    <row r="847" spans="1:5" ht="18">
      <c r="A847" s="39"/>
      <c r="C847" s="37"/>
      <c r="D847" s="37"/>
      <c r="E847" s="38"/>
    </row>
    <row r="848" spans="1:5" ht="18">
      <c r="A848" s="39"/>
      <c r="C848" s="37"/>
      <c r="D848" s="37"/>
      <c r="E848" s="38"/>
    </row>
    <row r="849" spans="1:5" ht="18">
      <c r="A849" s="39"/>
      <c r="C849" s="37"/>
      <c r="D849" s="37"/>
      <c r="E849" s="38"/>
    </row>
    <row r="850" spans="1:5" ht="18">
      <c r="A850" s="39"/>
      <c r="C850" s="37"/>
      <c r="D850" s="37"/>
      <c r="E850" s="38"/>
    </row>
    <row r="851" spans="1:5" ht="18">
      <c r="A851" s="39"/>
      <c r="C851" s="37"/>
      <c r="D851" s="37"/>
      <c r="E851" s="38"/>
    </row>
    <row r="852" spans="1:5" ht="18">
      <c r="A852" s="39"/>
      <c r="C852" s="37"/>
      <c r="D852" s="37"/>
      <c r="E852" s="38"/>
    </row>
    <row r="853" spans="1:5" ht="18">
      <c r="A853" s="39"/>
      <c r="C853" s="37"/>
      <c r="D853" s="37"/>
      <c r="E853" s="38"/>
    </row>
    <row r="854" spans="1:5" ht="18">
      <c r="A854" s="39"/>
      <c r="C854" s="37"/>
      <c r="D854" s="37"/>
      <c r="E854" s="38"/>
    </row>
    <row r="855" spans="1:5" ht="18">
      <c r="A855" s="39"/>
      <c r="C855" s="37"/>
      <c r="D855" s="37"/>
      <c r="E855" s="38"/>
    </row>
    <row r="856" spans="1:5" ht="18">
      <c r="A856" s="39"/>
      <c r="C856" s="37"/>
      <c r="D856" s="37"/>
      <c r="E856" s="38"/>
    </row>
    <row r="857" spans="1:5" ht="18">
      <c r="A857" s="39"/>
      <c r="C857" s="37"/>
      <c r="D857" s="37"/>
      <c r="E857" s="38"/>
    </row>
    <row r="858" spans="1:5" ht="18">
      <c r="A858" s="39"/>
      <c r="C858" s="37"/>
      <c r="D858" s="37"/>
      <c r="E858" s="38"/>
    </row>
    <row r="859" spans="1:5" ht="18">
      <c r="A859" s="39"/>
      <c r="C859" s="37"/>
      <c r="D859" s="37"/>
      <c r="E859" s="38"/>
    </row>
    <row r="860" spans="1:5" ht="18">
      <c r="A860" s="39"/>
      <c r="C860" s="37"/>
      <c r="D860" s="37"/>
      <c r="E860" s="38"/>
    </row>
    <row r="861" spans="1:5" ht="18">
      <c r="A861" s="39"/>
      <c r="C861" s="37"/>
      <c r="D861" s="37"/>
      <c r="E861" s="38"/>
    </row>
    <row r="862" spans="1:5" ht="18">
      <c r="A862" s="39"/>
      <c r="C862" s="37"/>
      <c r="D862" s="37"/>
      <c r="E862" s="38"/>
    </row>
    <row r="863" spans="1:5" ht="18">
      <c r="A863" s="39"/>
      <c r="C863" s="37"/>
      <c r="D863" s="37"/>
      <c r="E863" s="38"/>
    </row>
    <row r="864" spans="1:5" ht="18">
      <c r="A864" s="39"/>
      <c r="C864" s="37"/>
      <c r="D864" s="37"/>
      <c r="E864" s="38"/>
    </row>
    <row r="865" spans="1:5" ht="18">
      <c r="A865" s="39"/>
      <c r="C865" s="37"/>
      <c r="D865" s="37"/>
      <c r="E865" s="38"/>
    </row>
    <row r="866" spans="1:5" ht="18">
      <c r="A866" s="39"/>
      <c r="C866" s="37"/>
      <c r="D866" s="37"/>
      <c r="E866" s="38"/>
    </row>
    <row r="867" spans="1:5" ht="18">
      <c r="A867" s="39"/>
      <c r="C867" s="37"/>
      <c r="D867" s="37"/>
      <c r="E867" s="38"/>
    </row>
    <row r="868" spans="1:5" ht="18">
      <c r="A868" s="39"/>
      <c r="C868" s="37"/>
      <c r="D868" s="37"/>
      <c r="E868" s="38"/>
    </row>
    <row r="869" spans="1:5" ht="18">
      <c r="A869" s="39"/>
      <c r="C869" s="37"/>
      <c r="D869" s="37"/>
      <c r="E869" s="38"/>
    </row>
    <row r="870" spans="1:5" ht="18">
      <c r="A870" s="39"/>
      <c r="C870" s="37"/>
      <c r="D870" s="37"/>
      <c r="E870" s="38"/>
    </row>
    <row r="871" spans="1:5" ht="18">
      <c r="A871" s="39"/>
      <c r="C871" s="37"/>
      <c r="D871" s="37"/>
      <c r="E871" s="38"/>
    </row>
    <row r="872" spans="1:5" ht="18">
      <c r="A872" s="39"/>
      <c r="C872" s="37"/>
      <c r="D872" s="37"/>
      <c r="E872" s="38"/>
    </row>
    <row r="873" spans="1:5" ht="18">
      <c r="A873" s="39"/>
      <c r="C873" s="37"/>
      <c r="D873" s="37"/>
      <c r="E873" s="38"/>
    </row>
    <row r="874" spans="1:5" ht="18">
      <c r="A874" s="39"/>
      <c r="C874" s="37"/>
      <c r="D874" s="37"/>
      <c r="E874" s="38"/>
    </row>
    <row r="875" spans="1:5" ht="18">
      <c r="A875" s="39"/>
      <c r="C875" s="37"/>
      <c r="D875" s="37"/>
      <c r="E875" s="38"/>
    </row>
    <row r="876" spans="1:5" ht="18">
      <c r="A876" s="39"/>
      <c r="C876" s="37"/>
      <c r="D876" s="37"/>
      <c r="E876" s="38"/>
    </row>
    <row r="877" spans="1:5" ht="18">
      <c r="A877" s="39"/>
      <c r="C877" s="37"/>
      <c r="D877" s="37"/>
      <c r="E877" s="38"/>
    </row>
    <row r="878" spans="1:5" ht="18">
      <c r="A878" s="39"/>
      <c r="C878" s="37"/>
      <c r="D878" s="37"/>
      <c r="E878" s="38"/>
    </row>
    <row r="879" spans="1:5" ht="18">
      <c r="A879" s="39"/>
      <c r="C879" s="37"/>
      <c r="D879" s="37"/>
      <c r="E879" s="38"/>
    </row>
    <row r="880" spans="1:5" ht="18">
      <c r="A880" s="39"/>
      <c r="C880" s="37"/>
      <c r="D880" s="37"/>
      <c r="E880" s="38"/>
    </row>
    <row r="881" spans="1:5" ht="18">
      <c r="A881" s="39"/>
      <c r="C881" s="37"/>
      <c r="D881" s="37"/>
      <c r="E881" s="38"/>
    </row>
    <row r="882" spans="1:5" ht="18">
      <c r="A882" s="39"/>
      <c r="C882" s="37"/>
      <c r="D882" s="37"/>
      <c r="E882" s="38"/>
    </row>
    <row r="883" spans="1:5" ht="18">
      <c r="A883" s="39"/>
      <c r="C883" s="37"/>
      <c r="D883" s="37"/>
      <c r="E883" s="38"/>
    </row>
    <row r="884" spans="1:5" ht="18">
      <c r="A884" s="39"/>
      <c r="C884" s="37"/>
      <c r="D884" s="37"/>
      <c r="E884" s="38"/>
    </row>
    <row r="885" spans="1:5" ht="18">
      <c r="A885" s="39"/>
      <c r="C885" s="37"/>
      <c r="D885" s="37"/>
      <c r="E885" s="38"/>
    </row>
    <row r="886" spans="1:5" ht="18">
      <c r="A886" s="39"/>
      <c r="C886" s="37"/>
      <c r="D886" s="37"/>
      <c r="E886" s="38"/>
    </row>
    <row r="887" spans="1:5" ht="18">
      <c r="A887" s="39"/>
      <c r="C887" s="37"/>
      <c r="D887" s="37"/>
      <c r="E887" s="38"/>
    </row>
    <row r="888" spans="1:5" ht="18">
      <c r="A888" s="39"/>
      <c r="C888" s="37"/>
      <c r="D888" s="37"/>
      <c r="E888" s="38"/>
    </row>
    <row r="889" spans="1:5" ht="18">
      <c r="A889" s="39"/>
      <c r="C889" s="37"/>
      <c r="D889" s="37"/>
      <c r="E889" s="38"/>
    </row>
    <row r="890" spans="1:5" ht="18">
      <c r="A890" s="39"/>
      <c r="C890" s="37"/>
      <c r="D890" s="37"/>
      <c r="E890" s="38"/>
    </row>
    <row r="891" spans="1:5" ht="18">
      <c r="A891" s="39"/>
      <c r="C891" s="37"/>
      <c r="D891" s="37"/>
      <c r="E891" s="38"/>
    </row>
    <row r="892" spans="1:5" ht="18">
      <c r="A892" s="39"/>
      <c r="C892" s="37"/>
      <c r="D892" s="37"/>
      <c r="E892" s="38"/>
    </row>
    <row r="893" spans="1:5" ht="18">
      <c r="A893" s="39"/>
      <c r="C893" s="37"/>
      <c r="D893" s="37"/>
      <c r="E893" s="38"/>
    </row>
    <row r="894" spans="1:5" ht="18">
      <c r="A894" s="39"/>
      <c r="C894" s="37"/>
      <c r="D894" s="37"/>
      <c r="E894" s="38"/>
    </row>
    <row r="895" spans="1:5" ht="18">
      <c r="A895" s="39"/>
      <c r="C895" s="37"/>
      <c r="D895" s="37"/>
      <c r="E895" s="38"/>
    </row>
    <row r="896" spans="1:5" ht="18">
      <c r="A896" s="39"/>
      <c r="C896" s="37"/>
      <c r="D896" s="37"/>
      <c r="E896" s="38"/>
    </row>
    <row r="897" spans="1:5" ht="18">
      <c r="A897" s="39"/>
      <c r="C897" s="37"/>
      <c r="D897" s="37"/>
      <c r="E897" s="38"/>
    </row>
    <row r="898" spans="1:5" ht="18">
      <c r="A898" s="39"/>
      <c r="C898" s="37"/>
      <c r="D898" s="37"/>
      <c r="E898" s="38"/>
    </row>
    <row r="899" spans="1:5" ht="18">
      <c r="A899" s="39"/>
      <c r="C899" s="37"/>
      <c r="D899" s="37"/>
      <c r="E899" s="38"/>
    </row>
    <row r="900" spans="1:5" ht="18">
      <c r="A900" s="39"/>
      <c r="C900" s="37"/>
      <c r="D900" s="37"/>
      <c r="E900" s="38"/>
    </row>
    <row r="901" spans="1:5" ht="18">
      <c r="A901" s="39"/>
      <c r="C901" s="37"/>
      <c r="D901" s="37"/>
      <c r="E901" s="38"/>
    </row>
    <row r="902" spans="1:5" ht="18">
      <c r="A902" s="39"/>
      <c r="C902" s="37"/>
      <c r="D902" s="37"/>
      <c r="E902" s="38"/>
    </row>
    <row r="903" spans="1:5" ht="18">
      <c r="A903" s="39"/>
      <c r="C903" s="37"/>
      <c r="D903" s="37"/>
      <c r="E903" s="38"/>
    </row>
    <row r="904" spans="1:5" ht="18">
      <c r="A904" s="39"/>
      <c r="C904" s="37"/>
      <c r="D904" s="37"/>
      <c r="E904" s="38"/>
    </row>
    <row r="905" spans="1:5" ht="18">
      <c r="A905" s="39"/>
      <c r="C905" s="37"/>
      <c r="D905" s="37"/>
      <c r="E905" s="38"/>
    </row>
    <row r="906" spans="1:5" ht="18">
      <c r="A906" s="39"/>
      <c r="C906" s="37"/>
      <c r="D906" s="37"/>
      <c r="E906" s="38"/>
    </row>
    <row r="907" spans="1:5" ht="18">
      <c r="A907" s="39"/>
      <c r="C907" s="37"/>
      <c r="D907" s="37"/>
      <c r="E907" s="38"/>
    </row>
    <row r="908" spans="3:5" ht="18">
      <c r="C908" s="37"/>
      <c r="D908" s="37"/>
      <c r="E908" s="38"/>
    </row>
    <row r="909" spans="3:5" ht="18">
      <c r="C909" s="37"/>
      <c r="D909" s="37"/>
      <c r="E909" s="38"/>
    </row>
    <row r="910" spans="3:5" ht="18">
      <c r="C910" s="37"/>
      <c r="D910" s="37"/>
      <c r="E910" s="38"/>
    </row>
    <row r="911" spans="3:5" ht="18">
      <c r="C911" s="37"/>
      <c r="D911" s="37"/>
      <c r="E911" s="38"/>
    </row>
    <row r="912" spans="3:5" ht="18">
      <c r="C912" s="37"/>
      <c r="D912" s="37"/>
      <c r="E912" s="38"/>
    </row>
    <row r="913" spans="3:5" ht="18">
      <c r="C913" s="37"/>
      <c r="D913" s="37"/>
      <c r="E913" s="38"/>
    </row>
    <row r="914" spans="3:5" ht="18">
      <c r="C914" s="37"/>
      <c r="D914" s="37"/>
      <c r="E914" s="38"/>
    </row>
    <row r="915" spans="3:5" ht="18">
      <c r="C915" s="37"/>
      <c r="D915" s="37"/>
      <c r="E915" s="38"/>
    </row>
    <row r="916" spans="3:5" ht="18">
      <c r="C916" s="37"/>
      <c r="D916" s="37"/>
      <c r="E916" s="38"/>
    </row>
    <row r="917" spans="3:5" ht="18">
      <c r="C917" s="37"/>
      <c r="D917" s="37"/>
      <c r="E917" s="38"/>
    </row>
    <row r="918" spans="3:5" ht="18">
      <c r="C918" s="37"/>
      <c r="D918" s="37"/>
      <c r="E918" s="38"/>
    </row>
    <row r="919" spans="3:5" ht="18">
      <c r="C919" s="37"/>
      <c r="D919" s="37"/>
      <c r="E919" s="38"/>
    </row>
    <row r="920" spans="3:5" ht="18">
      <c r="C920" s="37"/>
      <c r="D920" s="37"/>
      <c r="E920" s="38"/>
    </row>
    <row r="921" spans="3:5" ht="18">
      <c r="C921" s="37"/>
      <c r="D921" s="37"/>
      <c r="E921" s="38"/>
    </row>
    <row r="922" spans="3:5" ht="18">
      <c r="C922" s="37"/>
      <c r="D922" s="37"/>
      <c r="E922" s="38"/>
    </row>
    <row r="923" spans="3:5" ht="18">
      <c r="C923" s="37"/>
      <c r="D923" s="37"/>
      <c r="E923" s="38"/>
    </row>
    <row r="924" spans="3:5" ht="18">
      <c r="C924" s="37"/>
      <c r="D924" s="37"/>
      <c r="E924" s="38"/>
    </row>
    <row r="925" spans="3:5" ht="18">
      <c r="C925" s="37"/>
      <c r="D925" s="37"/>
      <c r="E925" s="38"/>
    </row>
    <row r="926" spans="3:5" ht="18">
      <c r="C926" s="37"/>
      <c r="D926" s="37"/>
      <c r="E926" s="38"/>
    </row>
    <row r="927" spans="3:5" ht="18">
      <c r="C927" s="37"/>
      <c r="D927" s="37"/>
      <c r="E927" s="38"/>
    </row>
    <row r="928" spans="3:5" ht="18">
      <c r="C928" s="37"/>
      <c r="D928" s="37"/>
      <c r="E928" s="38"/>
    </row>
    <row r="929" spans="3:5" ht="18">
      <c r="C929" s="37"/>
      <c r="D929" s="37"/>
      <c r="E929" s="38"/>
    </row>
    <row r="930" ht="18">
      <c r="E930" s="38"/>
    </row>
    <row r="931" ht="18">
      <c r="E931" s="38"/>
    </row>
    <row r="932" ht="18">
      <c r="E932" s="38"/>
    </row>
    <row r="933" ht="18">
      <c r="E933" s="38"/>
    </row>
    <row r="934" ht="18">
      <c r="E934" s="38"/>
    </row>
    <row r="935" ht="18">
      <c r="E935" s="38"/>
    </row>
    <row r="936" ht="18">
      <c r="E936" s="38"/>
    </row>
    <row r="937" ht="18">
      <c r="E937" s="38"/>
    </row>
    <row r="938" ht="18">
      <c r="E938" s="38"/>
    </row>
    <row r="939" ht="18">
      <c r="E939" s="38"/>
    </row>
    <row r="940" ht="18">
      <c r="E940" s="38"/>
    </row>
    <row r="941" ht="18">
      <c r="E941" s="38"/>
    </row>
    <row r="942" ht="18">
      <c r="E942" s="38"/>
    </row>
    <row r="943" ht="18">
      <c r="E943" s="38"/>
    </row>
    <row r="944" ht="18">
      <c r="E944" s="38"/>
    </row>
    <row r="945" ht="18">
      <c r="E945" s="38"/>
    </row>
    <row r="946" ht="18">
      <c r="E946" s="38"/>
    </row>
    <row r="947" ht="18">
      <c r="E947" s="38"/>
    </row>
    <row r="948" ht="18">
      <c r="E948" s="38"/>
    </row>
    <row r="949" ht="18">
      <c r="E949" s="38"/>
    </row>
    <row r="950" ht="18">
      <c r="E950" s="38"/>
    </row>
    <row r="951" ht="18">
      <c r="E951" s="38"/>
    </row>
    <row r="952" ht="18">
      <c r="E952" s="38"/>
    </row>
    <row r="953" ht="18">
      <c r="E953" s="38"/>
    </row>
    <row r="954" ht="18">
      <c r="E954" s="38"/>
    </row>
    <row r="955" ht="18">
      <c r="E955" s="38"/>
    </row>
    <row r="956" ht="18">
      <c r="E956" s="38"/>
    </row>
    <row r="957" ht="18">
      <c r="E957" s="38"/>
    </row>
    <row r="958" ht="18">
      <c r="E958" s="38"/>
    </row>
    <row r="959" ht="18">
      <c r="E959" s="38"/>
    </row>
    <row r="960" ht="18">
      <c r="E960" s="38"/>
    </row>
    <row r="961" ht="18">
      <c r="E961" s="38"/>
    </row>
    <row r="962" ht="18">
      <c r="E962" s="38"/>
    </row>
    <row r="963" ht="18">
      <c r="E963" s="38"/>
    </row>
    <row r="964" ht="18">
      <c r="E964" s="38"/>
    </row>
    <row r="965" ht="18">
      <c r="E965" s="38"/>
    </row>
    <row r="966" ht="18">
      <c r="E966" s="38"/>
    </row>
    <row r="967" ht="18">
      <c r="E967" s="38"/>
    </row>
    <row r="968" ht="18">
      <c r="E968" s="38"/>
    </row>
    <row r="969" ht="18">
      <c r="E969" s="38"/>
    </row>
    <row r="970" ht="18">
      <c r="E970" s="38"/>
    </row>
    <row r="971" ht="18">
      <c r="E971" s="38"/>
    </row>
    <row r="972" ht="18">
      <c r="E972" s="38"/>
    </row>
    <row r="973" ht="18">
      <c r="E973" s="38"/>
    </row>
    <row r="974" ht="18">
      <c r="E974" s="38"/>
    </row>
    <row r="975" ht="18">
      <c r="E975" s="38"/>
    </row>
    <row r="976" ht="18">
      <c r="E976" s="38"/>
    </row>
    <row r="977" ht="18">
      <c r="E977" s="38"/>
    </row>
    <row r="978" ht="18">
      <c r="E978" s="38"/>
    </row>
    <row r="979" ht="18">
      <c r="E979" s="38"/>
    </row>
  </sheetData>
  <sheetProtection/>
  <mergeCells count="1">
    <mergeCell ref="A1:E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54" r:id="rId1"/>
  <headerFooter alignWithMargins="0">
    <oddFooter>&amp;C&amp;Pz5</oddFooter>
  </headerFooter>
  <rowBreaks count="5" manualBreakCount="5">
    <brk id="76" max="4" man="1"/>
    <brk id="151" max="4" man="1"/>
    <brk id="241" max="4" man="1"/>
    <brk id="310" max="4" man="1"/>
    <brk id="36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4">
      <selection activeCell="M19" sqref="M19"/>
    </sheetView>
  </sheetViews>
  <sheetFormatPr defaultColWidth="9.00390625" defaultRowHeight="12.75"/>
  <cols>
    <col min="1" max="1" width="7.25390625" style="198" customWidth="1"/>
    <col min="2" max="3" width="9.125" style="198" customWidth="1"/>
    <col min="4" max="4" width="31.00390625" style="198" customWidth="1"/>
    <col min="5" max="5" width="14.00390625" style="198" customWidth="1"/>
    <col min="6" max="6" width="14.25390625" style="198" customWidth="1"/>
    <col min="7" max="7" width="13.625" style="198" customWidth="1"/>
    <col min="8" max="16384" width="9.125" style="198" customWidth="1"/>
  </cols>
  <sheetData>
    <row r="2" spans="1:7" ht="12.75">
      <c r="A2" s="404" t="s">
        <v>497</v>
      </c>
      <c r="B2" s="407"/>
      <c r="C2" s="407"/>
      <c r="D2" s="407"/>
      <c r="E2" s="407"/>
      <c r="F2" s="407"/>
      <c r="G2" s="405"/>
    </row>
    <row r="3" spans="1:7" ht="12.75">
      <c r="A3" s="392" t="s">
        <v>0</v>
      </c>
      <c r="B3" s="392" t="s">
        <v>1</v>
      </c>
      <c r="C3" s="446" t="s">
        <v>536</v>
      </c>
      <c r="D3" s="392" t="s">
        <v>492</v>
      </c>
      <c r="E3" s="440" t="s">
        <v>493</v>
      </c>
      <c r="F3" s="441"/>
      <c r="G3" s="442"/>
    </row>
    <row r="4" spans="1:7" ht="12.75">
      <c r="A4" s="394"/>
      <c r="B4" s="394"/>
      <c r="C4" s="394"/>
      <c r="D4" s="394"/>
      <c r="E4" s="215" t="s">
        <v>494</v>
      </c>
      <c r="F4" s="215" t="s">
        <v>495</v>
      </c>
      <c r="G4" s="215" t="s">
        <v>496</v>
      </c>
    </row>
    <row r="5" spans="1:7" ht="12.75">
      <c r="A5" s="220" t="s">
        <v>40</v>
      </c>
      <c r="B5" s="220" t="s">
        <v>204</v>
      </c>
      <c r="C5" s="220" t="s">
        <v>239</v>
      </c>
      <c r="D5" s="218" t="s">
        <v>500</v>
      </c>
      <c r="E5" s="271">
        <v>0</v>
      </c>
      <c r="F5" s="271">
        <v>0</v>
      </c>
      <c r="G5" s="271">
        <v>350000</v>
      </c>
    </row>
    <row r="6" spans="1:7" ht="12.75">
      <c r="A6" s="220" t="s">
        <v>40</v>
      </c>
      <c r="B6" s="220" t="s">
        <v>204</v>
      </c>
      <c r="C6" s="220" t="s">
        <v>166</v>
      </c>
      <c r="D6" s="218" t="s">
        <v>500</v>
      </c>
      <c r="E6" s="271">
        <v>0</v>
      </c>
      <c r="F6" s="271">
        <v>0</v>
      </c>
      <c r="G6" s="271">
        <v>97707</v>
      </c>
    </row>
    <row r="7" spans="1:7" ht="12.75">
      <c r="A7" s="220" t="s">
        <v>344</v>
      </c>
      <c r="B7" s="220" t="s">
        <v>346</v>
      </c>
      <c r="C7" s="220" t="s">
        <v>538</v>
      </c>
      <c r="D7" s="218" t="s">
        <v>548</v>
      </c>
      <c r="E7" s="271">
        <v>0</v>
      </c>
      <c r="F7" s="271">
        <v>0</v>
      </c>
      <c r="G7" s="271">
        <v>32120</v>
      </c>
    </row>
    <row r="8" spans="1:7" ht="25.5">
      <c r="A8" s="220" t="s">
        <v>139</v>
      </c>
      <c r="B8" s="220" t="s">
        <v>143</v>
      </c>
      <c r="C8" s="220" t="s">
        <v>145</v>
      </c>
      <c r="D8" s="218" t="s">
        <v>501</v>
      </c>
      <c r="E8" s="271">
        <v>0</v>
      </c>
      <c r="F8" s="271">
        <v>109161</v>
      </c>
      <c r="G8" s="271">
        <v>0</v>
      </c>
    </row>
    <row r="9" spans="1:7" ht="25.5">
      <c r="A9" s="220" t="s">
        <v>149</v>
      </c>
      <c r="B9" s="220" t="s">
        <v>151</v>
      </c>
      <c r="C9" s="220" t="s">
        <v>153</v>
      </c>
      <c r="D9" s="218" t="s">
        <v>502</v>
      </c>
      <c r="E9" s="271">
        <v>290000</v>
      </c>
      <c r="F9" s="271">
        <v>0</v>
      </c>
      <c r="G9" s="271">
        <v>0</v>
      </c>
    </row>
    <row r="10" spans="1:7" ht="25.5">
      <c r="A10" s="220" t="s">
        <v>149</v>
      </c>
      <c r="B10" s="220" t="s">
        <v>156</v>
      </c>
      <c r="C10" s="220" t="s">
        <v>153</v>
      </c>
      <c r="D10" s="218" t="s">
        <v>503</v>
      </c>
      <c r="E10" s="271">
        <v>199000</v>
      </c>
      <c r="F10" s="271">
        <v>0</v>
      </c>
      <c r="G10" s="271">
        <v>0</v>
      </c>
    </row>
    <row r="11" spans="1:7" ht="12.75">
      <c r="A11" s="443" t="s">
        <v>381</v>
      </c>
      <c r="B11" s="444"/>
      <c r="C11" s="444"/>
      <c r="D11" s="445"/>
      <c r="E11" s="275">
        <f>SUM(E5:E10)</f>
        <v>489000</v>
      </c>
      <c r="F11" s="275">
        <f>SUM(F5:F10)</f>
        <v>109161</v>
      </c>
      <c r="G11" s="275">
        <f>SUM(G5:G10)</f>
        <v>479827</v>
      </c>
    </row>
    <row r="14" spans="1:7" ht="12.75">
      <c r="A14" s="404" t="s">
        <v>498</v>
      </c>
      <c r="B14" s="407"/>
      <c r="C14" s="407"/>
      <c r="D14" s="407"/>
      <c r="E14" s="407"/>
      <c r="F14" s="407"/>
      <c r="G14" s="405"/>
    </row>
    <row r="15" spans="1:7" ht="12.75">
      <c r="A15" s="392" t="s">
        <v>0</v>
      </c>
      <c r="B15" s="392" t="s">
        <v>1</v>
      </c>
      <c r="C15" s="446" t="s">
        <v>536</v>
      </c>
      <c r="D15" s="392" t="s">
        <v>489</v>
      </c>
      <c r="E15" s="440" t="s">
        <v>493</v>
      </c>
      <c r="F15" s="441"/>
      <c r="G15" s="442"/>
    </row>
    <row r="16" spans="1:7" ht="12.75">
      <c r="A16" s="394"/>
      <c r="B16" s="394"/>
      <c r="C16" s="394"/>
      <c r="D16" s="394"/>
      <c r="E16" s="215" t="s">
        <v>494</v>
      </c>
      <c r="F16" s="215" t="s">
        <v>495</v>
      </c>
      <c r="G16" s="215" t="s">
        <v>496</v>
      </c>
    </row>
    <row r="17" spans="1:7" ht="51">
      <c r="A17" s="220" t="s">
        <v>7</v>
      </c>
      <c r="B17" s="220" t="s">
        <v>252</v>
      </c>
      <c r="C17" s="220" t="s">
        <v>350</v>
      </c>
      <c r="D17" s="221" t="s">
        <v>547</v>
      </c>
      <c r="E17" s="271">
        <v>0</v>
      </c>
      <c r="F17" s="271">
        <v>0</v>
      </c>
      <c r="G17" s="271">
        <v>8000</v>
      </c>
    </row>
    <row r="18" spans="1:7" ht="25.5">
      <c r="A18" s="220" t="s">
        <v>7</v>
      </c>
      <c r="B18" s="220" t="s">
        <v>9</v>
      </c>
      <c r="C18" s="220" t="s">
        <v>11</v>
      </c>
      <c r="D18" s="221" t="s">
        <v>499</v>
      </c>
      <c r="E18" s="271">
        <v>0</v>
      </c>
      <c r="F18" s="271">
        <v>0</v>
      </c>
      <c r="G18" s="271">
        <v>5000</v>
      </c>
    </row>
    <row r="19" spans="1:7" ht="129" customHeight="1">
      <c r="A19" s="220" t="s">
        <v>99</v>
      </c>
      <c r="B19" s="220" t="s">
        <v>103</v>
      </c>
      <c r="C19" s="220" t="s">
        <v>104</v>
      </c>
      <c r="D19" s="221" t="s">
        <v>549</v>
      </c>
      <c r="E19" s="271">
        <v>0</v>
      </c>
      <c r="F19" s="271">
        <v>0</v>
      </c>
      <c r="G19" s="271">
        <v>1500</v>
      </c>
    </row>
    <row r="20" spans="1:7" ht="81" customHeight="1">
      <c r="A20" s="220" t="s">
        <v>99</v>
      </c>
      <c r="B20" s="220" t="s">
        <v>103</v>
      </c>
      <c r="C20" s="220" t="s">
        <v>104</v>
      </c>
      <c r="D20" s="221" t="s">
        <v>550</v>
      </c>
      <c r="E20" s="271">
        <v>0</v>
      </c>
      <c r="F20" s="271">
        <v>0</v>
      </c>
      <c r="G20" s="271">
        <v>8000</v>
      </c>
    </row>
    <row r="21" spans="1:7" ht="78.75" customHeight="1">
      <c r="A21" s="220" t="s">
        <v>159</v>
      </c>
      <c r="B21" s="220" t="s">
        <v>161</v>
      </c>
      <c r="C21" s="220" t="s">
        <v>104</v>
      </c>
      <c r="D21" s="221" t="s">
        <v>551</v>
      </c>
      <c r="E21" s="271">
        <v>0</v>
      </c>
      <c r="F21" s="271">
        <v>0</v>
      </c>
      <c r="G21" s="271">
        <v>60000</v>
      </c>
    </row>
    <row r="22" spans="1:7" ht="12.75">
      <c r="A22" s="447"/>
      <c r="B22" s="448"/>
      <c r="C22" s="448"/>
      <c r="D22" s="449"/>
      <c r="E22" s="275">
        <f>SUM(E17:E21)</f>
        <v>0</v>
      </c>
      <c r="F22" s="275">
        <f>SUM(F17:F21)</f>
        <v>0</v>
      </c>
      <c r="G22" s="275">
        <f>SUM(G17:G21)</f>
        <v>82500</v>
      </c>
    </row>
  </sheetData>
  <sheetProtection/>
  <mergeCells count="14">
    <mergeCell ref="A22:D22"/>
    <mergeCell ref="A2:G2"/>
    <mergeCell ref="A14:G14"/>
    <mergeCell ref="A15:A16"/>
    <mergeCell ref="B15:B16"/>
    <mergeCell ref="D15:D16"/>
    <mergeCell ref="E15:G15"/>
    <mergeCell ref="A11:D11"/>
    <mergeCell ref="A3:A4"/>
    <mergeCell ref="B3:B4"/>
    <mergeCell ref="D3:D4"/>
    <mergeCell ref="E3:G3"/>
    <mergeCell ref="C3:C4"/>
    <mergeCell ref="C15:C1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0">
      <selection activeCell="J8" sqref="J8"/>
    </sheetView>
  </sheetViews>
  <sheetFormatPr defaultColWidth="9.00390625" defaultRowHeight="12.75"/>
  <cols>
    <col min="1" max="1" width="8.00390625" style="198" customWidth="1"/>
    <col min="2" max="2" width="42.125" style="198" customWidth="1"/>
    <col min="3" max="3" width="20.125" style="198" customWidth="1"/>
    <col min="4" max="4" width="13.125" style="198" customWidth="1"/>
    <col min="5" max="5" width="15.125" style="198" customWidth="1"/>
    <col min="6" max="6" width="19.375" style="198" customWidth="1"/>
    <col min="7" max="7" width="21.375" style="198" customWidth="1"/>
    <col min="8" max="16384" width="9.125" style="198" customWidth="1"/>
  </cols>
  <sheetData>
    <row r="2" spans="1:7" ht="25.5" customHeight="1">
      <c r="A2" s="450" t="s">
        <v>504</v>
      </c>
      <c r="B2" s="392" t="s">
        <v>505</v>
      </c>
      <c r="C2" s="392" t="s">
        <v>506</v>
      </c>
      <c r="D2" s="392" t="s">
        <v>507</v>
      </c>
      <c r="E2" s="392" t="s">
        <v>508</v>
      </c>
      <c r="F2" s="215" t="s">
        <v>579</v>
      </c>
      <c r="G2" s="215" t="s">
        <v>580</v>
      </c>
    </row>
    <row r="3" spans="1:7" ht="39" customHeight="1">
      <c r="A3" s="451"/>
      <c r="B3" s="393"/>
      <c r="C3" s="393"/>
      <c r="D3" s="393"/>
      <c r="E3" s="393"/>
      <c r="F3" s="215" t="s">
        <v>509</v>
      </c>
      <c r="G3" s="214" t="s">
        <v>581</v>
      </c>
    </row>
    <row r="4" spans="1:7" ht="13.5" customHeight="1">
      <c r="A4" s="229">
        <v>1</v>
      </c>
      <c r="B4" s="229">
        <v>2</v>
      </c>
      <c r="C4" s="229">
        <v>3</v>
      </c>
      <c r="D4" s="229">
        <v>4</v>
      </c>
      <c r="E4" s="229">
        <v>5</v>
      </c>
      <c r="F4" s="229">
        <v>6</v>
      </c>
      <c r="G4" s="229">
        <v>7</v>
      </c>
    </row>
    <row r="5" spans="1:7" ht="27.75" customHeight="1">
      <c r="A5" s="222">
        <v>1</v>
      </c>
      <c r="B5" s="223" t="s">
        <v>510</v>
      </c>
      <c r="C5" s="223" t="s">
        <v>511</v>
      </c>
      <c r="D5" s="282" t="s">
        <v>512</v>
      </c>
      <c r="E5" s="276">
        <v>7100000</v>
      </c>
      <c r="F5" s="276">
        <v>2560000</v>
      </c>
      <c r="G5" s="277">
        <v>552050</v>
      </c>
    </row>
    <row r="6" spans="1:7" ht="12.75">
      <c r="A6" s="224"/>
      <c r="B6" s="230" t="s">
        <v>516</v>
      </c>
      <c r="C6" s="225"/>
      <c r="D6" s="278"/>
      <c r="E6" s="279"/>
      <c r="F6" s="225" t="s">
        <v>513</v>
      </c>
      <c r="G6" s="226" t="s">
        <v>513</v>
      </c>
    </row>
    <row r="7" spans="1:7" ht="12.75">
      <c r="A7" s="224"/>
      <c r="B7" s="230"/>
      <c r="C7" s="225"/>
      <c r="D7" s="278"/>
      <c r="E7" s="279"/>
      <c r="F7" s="225" t="s">
        <v>514</v>
      </c>
      <c r="G7" s="226" t="s">
        <v>514</v>
      </c>
    </row>
    <row r="8" spans="1:7" ht="12.75">
      <c r="A8" s="224"/>
      <c r="B8" s="230"/>
      <c r="C8" s="225"/>
      <c r="D8" s="278"/>
      <c r="E8" s="279"/>
      <c r="F8" s="264">
        <v>398374</v>
      </c>
      <c r="G8" s="355">
        <v>106269.63</v>
      </c>
    </row>
    <row r="9" spans="1:7" ht="12.75">
      <c r="A9" s="224"/>
      <c r="B9" s="230"/>
      <c r="C9" s="225"/>
      <c r="D9" s="278"/>
      <c r="E9" s="279"/>
      <c r="F9" s="225" t="s">
        <v>515</v>
      </c>
      <c r="G9" s="226" t="s">
        <v>515</v>
      </c>
    </row>
    <row r="10" spans="1:7" ht="12.75">
      <c r="A10" s="227"/>
      <c r="B10" s="231"/>
      <c r="C10" s="228"/>
      <c r="D10" s="280"/>
      <c r="E10" s="281"/>
      <c r="F10" s="265">
        <v>2161626</v>
      </c>
      <c r="G10" s="266">
        <v>445780.37</v>
      </c>
    </row>
    <row r="11" spans="1:7" ht="25.5">
      <c r="A11" s="222">
        <v>5</v>
      </c>
      <c r="B11" s="223" t="s">
        <v>523</v>
      </c>
      <c r="C11" s="223" t="s">
        <v>511</v>
      </c>
      <c r="D11" s="282" t="s">
        <v>582</v>
      </c>
      <c r="E11" s="276">
        <v>8200000</v>
      </c>
      <c r="F11" s="276">
        <v>50000</v>
      </c>
      <c r="G11" s="277">
        <v>0</v>
      </c>
    </row>
    <row r="12" spans="1:7" ht="12.75">
      <c r="A12" s="224"/>
      <c r="B12" s="230" t="s">
        <v>516</v>
      </c>
      <c r="C12" s="225"/>
      <c r="D12" s="278"/>
      <c r="E12" s="279"/>
      <c r="F12" s="225" t="s">
        <v>513</v>
      </c>
      <c r="G12" s="226" t="s">
        <v>513</v>
      </c>
    </row>
    <row r="13" spans="1:7" ht="12.75">
      <c r="A13" s="224"/>
      <c r="B13" s="225"/>
      <c r="C13" s="225"/>
      <c r="D13" s="278"/>
      <c r="E13" s="279"/>
      <c r="F13" s="225" t="s">
        <v>514</v>
      </c>
      <c r="G13" s="226" t="s">
        <v>514</v>
      </c>
    </row>
    <row r="14" spans="1:7" ht="12.75">
      <c r="A14" s="224"/>
      <c r="B14" s="225"/>
      <c r="C14" s="225"/>
      <c r="D14" s="278"/>
      <c r="E14" s="279"/>
      <c r="F14" s="264">
        <v>50000</v>
      </c>
      <c r="G14" s="355">
        <v>0</v>
      </c>
    </row>
    <row r="15" spans="1:7" ht="63.75">
      <c r="A15" s="222">
        <v>9</v>
      </c>
      <c r="B15" s="223" t="s">
        <v>517</v>
      </c>
      <c r="C15" s="223" t="s">
        <v>511</v>
      </c>
      <c r="D15" s="282" t="s">
        <v>519</v>
      </c>
      <c r="E15" s="276">
        <v>1400000</v>
      </c>
      <c r="F15" s="276">
        <v>909835</v>
      </c>
      <c r="G15" s="277">
        <v>0</v>
      </c>
    </row>
    <row r="16" spans="1:7" ht="25.5">
      <c r="A16" s="224"/>
      <c r="B16" s="232" t="s">
        <v>518</v>
      </c>
      <c r="C16" s="225"/>
      <c r="D16" s="278"/>
      <c r="E16" s="279"/>
      <c r="F16" s="225" t="s">
        <v>513</v>
      </c>
      <c r="G16" s="226" t="s">
        <v>513</v>
      </c>
    </row>
    <row r="17" spans="1:7" ht="12.75">
      <c r="A17" s="224"/>
      <c r="B17" s="225"/>
      <c r="C17" s="225"/>
      <c r="D17" s="278"/>
      <c r="E17" s="279"/>
      <c r="F17" s="225" t="s">
        <v>514</v>
      </c>
      <c r="G17" s="226" t="s">
        <v>514</v>
      </c>
    </row>
    <row r="18" spans="1:7" ht="12.75">
      <c r="A18" s="224"/>
      <c r="B18" s="225"/>
      <c r="C18" s="225"/>
      <c r="D18" s="278"/>
      <c r="E18" s="279"/>
      <c r="F18" s="264">
        <v>909835</v>
      </c>
      <c r="G18" s="355">
        <v>0</v>
      </c>
    </row>
    <row r="19" spans="1:7" ht="51">
      <c r="A19" s="222">
        <v>10</v>
      </c>
      <c r="B19" s="223" t="s">
        <v>520</v>
      </c>
      <c r="C19" s="223" t="s">
        <v>511</v>
      </c>
      <c r="D19" s="282" t="s">
        <v>522</v>
      </c>
      <c r="E19" s="276">
        <v>715000</v>
      </c>
      <c r="F19" s="276">
        <v>147083</v>
      </c>
      <c r="G19" s="277">
        <v>142881.98</v>
      </c>
    </row>
    <row r="20" spans="1:7" ht="25.5">
      <c r="A20" s="224"/>
      <c r="B20" s="232" t="s">
        <v>521</v>
      </c>
      <c r="C20" s="225"/>
      <c r="D20" s="278"/>
      <c r="E20" s="279"/>
      <c r="F20" s="225" t="s">
        <v>513</v>
      </c>
      <c r="G20" s="226" t="s">
        <v>513</v>
      </c>
    </row>
    <row r="21" spans="1:7" ht="12.75">
      <c r="A21" s="224"/>
      <c r="B21" s="225"/>
      <c r="C21" s="225"/>
      <c r="D21" s="278"/>
      <c r="E21" s="279"/>
      <c r="F21" s="225" t="s">
        <v>514</v>
      </c>
      <c r="G21" s="226" t="s">
        <v>514</v>
      </c>
    </row>
    <row r="22" spans="1:7" ht="12.75">
      <c r="A22" s="224"/>
      <c r="B22" s="225"/>
      <c r="C22" s="225"/>
      <c r="D22" s="278"/>
      <c r="E22" s="279"/>
      <c r="F22" s="264">
        <v>147083</v>
      </c>
      <c r="G22" s="355">
        <v>142881.98</v>
      </c>
    </row>
    <row r="23" spans="1:7" ht="15.75" customHeight="1">
      <c r="A23" s="222">
        <v>11</v>
      </c>
      <c r="B23" s="223" t="s">
        <v>524</v>
      </c>
      <c r="C23" s="223" t="s">
        <v>511</v>
      </c>
      <c r="D23" s="282" t="s">
        <v>525</v>
      </c>
      <c r="E23" s="276">
        <v>1229000</v>
      </c>
      <c r="F23" s="276">
        <v>700000</v>
      </c>
      <c r="G23" s="277">
        <v>217574.91</v>
      </c>
    </row>
    <row r="24" spans="1:7" ht="25.5">
      <c r="A24" s="224"/>
      <c r="B24" s="232" t="s">
        <v>521</v>
      </c>
      <c r="C24" s="225"/>
      <c r="D24" s="278"/>
      <c r="E24" s="279"/>
      <c r="F24" s="225" t="s">
        <v>513</v>
      </c>
      <c r="G24" s="226" t="s">
        <v>513</v>
      </c>
    </row>
    <row r="25" spans="1:7" ht="12.75">
      <c r="A25" s="224"/>
      <c r="B25" s="225"/>
      <c r="C25" s="225"/>
      <c r="D25" s="278"/>
      <c r="E25" s="279"/>
      <c r="F25" s="225" t="s">
        <v>514</v>
      </c>
      <c r="G25" s="226" t="s">
        <v>514</v>
      </c>
    </row>
    <row r="26" spans="1:7" ht="12.75">
      <c r="A26" s="224"/>
      <c r="B26" s="225"/>
      <c r="C26" s="225"/>
      <c r="D26" s="278"/>
      <c r="E26" s="279"/>
      <c r="F26" s="264">
        <v>502308</v>
      </c>
      <c r="G26" s="355">
        <v>217574.91</v>
      </c>
    </row>
    <row r="27" spans="1:7" ht="12.75">
      <c r="A27" s="224"/>
      <c r="B27" s="225"/>
      <c r="C27" s="225"/>
      <c r="D27" s="278"/>
      <c r="E27" s="279"/>
      <c r="F27" s="225" t="s">
        <v>515</v>
      </c>
      <c r="G27" s="226" t="s">
        <v>515</v>
      </c>
    </row>
    <row r="28" spans="1:7" ht="12.75">
      <c r="A28" s="227"/>
      <c r="B28" s="228"/>
      <c r="C28" s="228"/>
      <c r="D28" s="280"/>
      <c r="E28" s="281"/>
      <c r="F28" s="265">
        <v>197692</v>
      </c>
      <c r="G28" s="266">
        <v>0</v>
      </c>
    </row>
    <row r="29" spans="1:7" ht="51">
      <c r="A29" s="222">
        <v>14</v>
      </c>
      <c r="B29" s="223" t="s">
        <v>583</v>
      </c>
      <c r="C29" s="223" t="s">
        <v>511</v>
      </c>
      <c r="D29" s="282" t="s">
        <v>519</v>
      </c>
      <c r="E29" s="276">
        <v>926000</v>
      </c>
      <c r="F29" s="276">
        <v>801000</v>
      </c>
      <c r="G29" s="277">
        <v>17080</v>
      </c>
    </row>
    <row r="30" spans="1:7" ht="25.5">
      <c r="A30" s="224"/>
      <c r="B30" s="232" t="s">
        <v>527</v>
      </c>
      <c r="C30" s="225"/>
      <c r="D30" s="278"/>
      <c r="E30" s="225"/>
      <c r="F30" s="225" t="s">
        <v>513</v>
      </c>
      <c r="G30" s="226" t="s">
        <v>513</v>
      </c>
    </row>
    <row r="31" spans="1:7" ht="12.75">
      <c r="A31" s="224"/>
      <c r="B31" s="225"/>
      <c r="C31" s="225"/>
      <c r="D31" s="278"/>
      <c r="E31" s="225"/>
      <c r="F31" s="225" t="s">
        <v>514</v>
      </c>
      <c r="G31" s="226" t="s">
        <v>514</v>
      </c>
    </row>
    <row r="32" spans="1:7" ht="12.75">
      <c r="A32" s="224"/>
      <c r="B32" s="225"/>
      <c r="C32" s="225"/>
      <c r="D32" s="278"/>
      <c r="E32" s="225"/>
      <c r="F32" s="264">
        <v>801000</v>
      </c>
      <c r="G32" s="355">
        <v>17080</v>
      </c>
    </row>
    <row r="33" spans="1:7" ht="25.5">
      <c r="A33" s="222">
        <v>17</v>
      </c>
      <c r="B33" s="223" t="s">
        <v>584</v>
      </c>
      <c r="C33" s="223" t="s">
        <v>511</v>
      </c>
      <c r="D33" s="282" t="s">
        <v>519</v>
      </c>
      <c r="E33" s="276">
        <v>573000</v>
      </c>
      <c r="F33" s="276">
        <v>54936</v>
      </c>
      <c r="G33" s="277">
        <v>0</v>
      </c>
    </row>
    <row r="34" spans="1:7" ht="25.5">
      <c r="A34" s="224"/>
      <c r="B34" s="232" t="s">
        <v>585</v>
      </c>
      <c r="C34" s="225"/>
      <c r="D34" s="278"/>
      <c r="E34" s="225"/>
      <c r="F34" s="225" t="s">
        <v>513</v>
      </c>
      <c r="G34" s="226" t="s">
        <v>513</v>
      </c>
    </row>
    <row r="35" spans="1:7" ht="12.75">
      <c r="A35" s="224"/>
      <c r="B35" s="225"/>
      <c r="C35" s="225"/>
      <c r="D35" s="278"/>
      <c r="E35" s="225"/>
      <c r="F35" s="225" t="s">
        <v>514</v>
      </c>
      <c r="G35" s="226" t="s">
        <v>514</v>
      </c>
    </row>
    <row r="36" spans="1:7" ht="12.75">
      <c r="A36" s="224"/>
      <c r="B36" s="225"/>
      <c r="C36" s="225"/>
      <c r="D36" s="278"/>
      <c r="E36" s="225"/>
      <c r="F36" s="264">
        <v>54936</v>
      </c>
      <c r="G36" s="266">
        <v>0</v>
      </c>
    </row>
    <row r="37" spans="1:7" ht="12.75">
      <c r="A37" s="368" t="s">
        <v>163</v>
      </c>
      <c r="B37" s="369"/>
      <c r="C37" s="369"/>
      <c r="D37" s="369"/>
      <c r="E37" s="370"/>
      <c r="F37" s="199">
        <f>F33+F29+F23+F19+F15+F11+F5</f>
        <v>5222854</v>
      </c>
      <c r="G37" s="199">
        <f>G33+G29+G23+G19+G15+G11+G5</f>
        <v>929586.89</v>
      </c>
    </row>
  </sheetData>
  <sheetProtection/>
  <mergeCells count="6">
    <mergeCell ref="A37:E37"/>
    <mergeCell ref="E2:E3"/>
    <mergeCell ref="A2:A3"/>
    <mergeCell ref="B2:B3"/>
    <mergeCell ref="C2:C3"/>
    <mergeCell ref="D2:D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5" r:id="rId1"/>
  <rowBreaks count="1" manualBreakCount="1">
    <brk id="2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54"/>
  <sheetViews>
    <sheetView view="pageBreakPreview" zoomScale="60" zoomScalePageLayoutView="0" workbookViewId="0" topLeftCell="A342">
      <selection activeCell="B5" sqref="B5"/>
    </sheetView>
  </sheetViews>
  <sheetFormatPr defaultColWidth="9.00390625" defaultRowHeight="12.75"/>
  <cols>
    <col min="1" max="1" width="12.875" style="1" customWidth="1"/>
    <col min="2" max="2" width="66.375" style="1" customWidth="1"/>
    <col min="3" max="3" width="23.125" style="1" hidden="1" customWidth="1"/>
    <col min="4" max="4" width="24.00390625" style="1" customWidth="1"/>
    <col min="5" max="5" width="27.625" style="1" hidden="1" customWidth="1"/>
    <col min="6" max="6" width="27.00390625" style="1" hidden="1" customWidth="1"/>
    <col min="7" max="7" width="74.375" style="1" customWidth="1"/>
    <col min="8" max="8" width="30.00390625" style="1" customWidth="1"/>
    <col min="9" max="9" width="29.125" style="1" customWidth="1"/>
    <col min="10" max="10" width="35.875" style="1" customWidth="1"/>
    <col min="11" max="11" width="30.375" style="1" customWidth="1"/>
    <col min="12" max="12" width="28.75390625" style="1" customWidth="1"/>
    <col min="13" max="13" width="30.875" style="1" customWidth="1"/>
    <col min="14" max="14" width="26.375" style="1" customWidth="1"/>
    <col min="15" max="16384" width="9.125" style="1" customWidth="1"/>
  </cols>
  <sheetData>
    <row r="1" spans="1:5" ht="18">
      <c r="A1" s="357" t="s">
        <v>329</v>
      </c>
      <c r="B1" s="357"/>
      <c r="C1" s="357"/>
      <c r="D1" s="357"/>
      <c r="E1" s="357"/>
    </row>
    <row r="3" spans="1:13" ht="18">
      <c r="A3" s="2" t="s">
        <v>0</v>
      </c>
      <c r="B3" s="3"/>
      <c r="C3" s="3" t="s">
        <v>325</v>
      </c>
      <c r="D3" s="3" t="s">
        <v>325</v>
      </c>
      <c r="E3" s="3" t="s">
        <v>326</v>
      </c>
      <c r="F3" s="3" t="s">
        <v>326</v>
      </c>
      <c r="I3" s="1" t="s">
        <v>371</v>
      </c>
      <c r="J3" s="1" t="s">
        <v>371</v>
      </c>
      <c r="K3" s="1" t="s">
        <v>371</v>
      </c>
      <c r="L3" s="1" t="s">
        <v>371</v>
      </c>
      <c r="M3" s="1" t="s">
        <v>371</v>
      </c>
    </row>
    <row r="4" spans="1:14" ht="18">
      <c r="A4" s="4" t="s">
        <v>1</v>
      </c>
      <c r="B4" s="5" t="s">
        <v>2</v>
      </c>
      <c r="C4" s="5">
        <v>2009</v>
      </c>
      <c r="D4" s="5">
        <v>2010</v>
      </c>
      <c r="E4" s="5" t="s">
        <v>330</v>
      </c>
      <c r="F4" s="5" t="s">
        <v>330</v>
      </c>
      <c r="G4" s="1" t="s">
        <v>306</v>
      </c>
      <c r="H4" s="1" t="s">
        <v>373</v>
      </c>
      <c r="I4" s="1" t="s">
        <v>323</v>
      </c>
      <c r="J4" s="1" t="s">
        <v>372</v>
      </c>
      <c r="K4" s="1" t="s">
        <v>375</v>
      </c>
      <c r="L4" s="1" t="s">
        <v>376</v>
      </c>
      <c r="M4" s="1" t="s">
        <v>377</v>
      </c>
      <c r="N4" s="1" t="s">
        <v>374</v>
      </c>
    </row>
    <row r="5" spans="1:6" ht="18">
      <c r="A5" s="4" t="s">
        <v>6</v>
      </c>
      <c r="B5" s="8"/>
      <c r="C5" s="8"/>
      <c r="D5" s="8"/>
      <c r="E5" s="5" t="s">
        <v>327</v>
      </c>
      <c r="F5" s="5" t="s">
        <v>328</v>
      </c>
    </row>
    <row r="6" spans="1:14" ht="18">
      <c r="A6" s="89" t="s">
        <v>7</v>
      </c>
      <c r="B6" s="90" t="s">
        <v>8</v>
      </c>
      <c r="C6" s="92">
        <f>C21+C25+C14+C8+C11</f>
        <v>1960000</v>
      </c>
      <c r="D6" s="91">
        <f>D21+D25+D14+D8+D11</f>
        <v>2661560</v>
      </c>
      <c r="E6" s="93">
        <f>D6-C6</f>
        <v>701560</v>
      </c>
      <c r="F6" s="12">
        <f>D6*100/C6</f>
        <v>135.79387755102042</v>
      </c>
      <c r="G6" s="86"/>
      <c r="H6" s="189">
        <f>SUM(I6:M6)</f>
        <v>0</v>
      </c>
      <c r="I6" s="182"/>
      <c r="J6" s="182"/>
      <c r="K6" s="182"/>
      <c r="L6" s="182"/>
      <c r="M6" s="182"/>
      <c r="N6" s="184"/>
    </row>
    <row r="7" spans="1:14" ht="18">
      <c r="A7" s="83"/>
      <c r="B7" s="84"/>
      <c r="C7" s="94"/>
      <c r="D7" s="85"/>
      <c r="E7" s="93"/>
      <c r="F7" s="12"/>
      <c r="G7" s="86"/>
      <c r="H7" s="189">
        <f aca="true" t="shared" si="0" ref="H7:H70">SUM(I7:M7)</f>
        <v>0</v>
      </c>
      <c r="I7" s="8"/>
      <c r="J7" s="8"/>
      <c r="K7" s="8"/>
      <c r="L7" s="8"/>
      <c r="M7" s="8"/>
      <c r="N7" s="185"/>
    </row>
    <row r="8" spans="1:14" ht="18">
      <c r="A8" s="95" t="s">
        <v>252</v>
      </c>
      <c r="B8" s="96" t="s">
        <v>253</v>
      </c>
      <c r="C8" s="98">
        <f>SUM(C9:C9)</f>
        <v>50000</v>
      </c>
      <c r="D8" s="97">
        <f>SUM(D9:D9)</f>
        <v>50000</v>
      </c>
      <c r="E8" s="93">
        <f aca="true" t="shared" si="1" ref="E8:E71">D8-C8</f>
        <v>0</v>
      </c>
      <c r="F8" s="12">
        <f aca="true" t="shared" si="2" ref="F8:F82">D8*100/C8</f>
        <v>100</v>
      </c>
      <c r="G8" s="86"/>
      <c r="H8" s="189">
        <f t="shared" si="0"/>
        <v>0</v>
      </c>
      <c r="I8" s="8"/>
      <c r="J8" s="8"/>
      <c r="K8" s="8"/>
      <c r="L8" s="8"/>
      <c r="M8" s="8"/>
      <c r="N8" s="185"/>
    </row>
    <row r="9" spans="1:14" ht="18">
      <c r="A9" s="83" t="s">
        <v>16</v>
      </c>
      <c r="B9" s="84" t="s">
        <v>17</v>
      </c>
      <c r="C9" s="94">
        <v>50000</v>
      </c>
      <c r="D9" s="85">
        <v>50000</v>
      </c>
      <c r="E9" s="93">
        <f t="shared" si="1"/>
        <v>0</v>
      </c>
      <c r="F9" s="12">
        <f t="shared" si="2"/>
        <v>100</v>
      </c>
      <c r="G9" s="86" t="s">
        <v>307</v>
      </c>
      <c r="H9" s="189">
        <f t="shared" si="0"/>
        <v>50000</v>
      </c>
      <c r="I9" s="8"/>
      <c r="J9" s="183">
        <f>D9</f>
        <v>50000</v>
      </c>
      <c r="K9" s="8"/>
      <c r="L9" s="8"/>
      <c r="M9" s="8"/>
      <c r="N9" s="185"/>
    </row>
    <row r="10" spans="1:14" ht="18">
      <c r="A10" s="83"/>
      <c r="B10" s="84"/>
      <c r="C10" s="94"/>
      <c r="D10" s="85"/>
      <c r="E10" s="93"/>
      <c r="F10" s="12"/>
      <c r="G10" s="86"/>
      <c r="H10" s="189">
        <f t="shared" si="0"/>
        <v>0</v>
      </c>
      <c r="I10" s="8"/>
      <c r="J10" s="8"/>
      <c r="K10" s="8"/>
      <c r="L10" s="8"/>
      <c r="M10" s="8"/>
      <c r="N10" s="185"/>
    </row>
    <row r="11" spans="1:14" ht="18">
      <c r="A11" s="126" t="s">
        <v>348</v>
      </c>
      <c r="B11" s="127" t="s">
        <v>349</v>
      </c>
      <c r="C11" s="129">
        <f>SUM(C12:C12)</f>
        <v>0</v>
      </c>
      <c r="D11" s="128">
        <f>SUM(D12:D12)</f>
        <v>8000</v>
      </c>
      <c r="E11" s="117">
        <f>D11-C11</f>
        <v>8000</v>
      </c>
      <c r="F11" s="118" t="e">
        <f>D11*100/C11</f>
        <v>#DIV/0!</v>
      </c>
      <c r="G11" s="86"/>
      <c r="H11" s="189">
        <f t="shared" si="0"/>
        <v>0</v>
      </c>
      <c r="I11" s="8"/>
      <c r="J11" s="8"/>
      <c r="K11" s="8"/>
      <c r="L11" s="8"/>
      <c r="M11" s="8"/>
      <c r="N11" s="185"/>
    </row>
    <row r="12" spans="1:14" ht="70.5" customHeight="1">
      <c r="A12" s="122" t="s">
        <v>350</v>
      </c>
      <c r="B12" s="137" t="s">
        <v>351</v>
      </c>
      <c r="C12" s="125">
        <v>0</v>
      </c>
      <c r="D12" s="124">
        <v>8000</v>
      </c>
      <c r="E12" s="117">
        <f>D12-C12</f>
        <v>8000</v>
      </c>
      <c r="F12" s="118" t="e">
        <f>D12*100/C12</f>
        <v>#DIV/0!</v>
      </c>
      <c r="G12" s="86" t="s">
        <v>352</v>
      </c>
      <c r="H12" s="189">
        <f t="shared" si="0"/>
        <v>8000</v>
      </c>
      <c r="I12" s="8"/>
      <c r="J12" s="8"/>
      <c r="K12" s="183">
        <f>D12</f>
        <v>8000</v>
      </c>
      <c r="L12" s="8"/>
      <c r="M12" s="8"/>
      <c r="N12" s="185"/>
    </row>
    <row r="13" spans="1:14" ht="18">
      <c r="A13" s="83"/>
      <c r="B13" s="84"/>
      <c r="C13" s="94"/>
      <c r="D13" s="85"/>
      <c r="E13" s="93"/>
      <c r="F13" s="12"/>
      <c r="G13" s="86"/>
      <c r="H13" s="189">
        <f t="shared" si="0"/>
        <v>0</v>
      </c>
      <c r="I13" s="8"/>
      <c r="J13" s="8"/>
      <c r="K13" s="8"/>
      <c r="L13" s="8"/>
      <c r="M13" s="8"/>
      <c r="N13" s="185"/>
    </row>
    <row r="14" spans="1:14" ht="18">
      <c r="A14" s="95" t="s">
        <v>208</v>
      </c>
      <c r="B14" s="96" t="s">
        <v>209</v>
      </c>
      <c r="C14" s="98">
        <f>SUM(C15:C19)</f>
        <v>1900000</v>
      </c>
      <c r="D14" s="97">
        <f>SUM(D15:D19)</f>
        <v>2593560</v>
      </c>
      <c r="E14" s="93">
        <f t="shared" si="1"/>
        <v>693560</v>
      </c>
      <c r="F14" s="12">
        <f t="shared" si="2"/>
        <v>136.50315789473683</v>
      </c>
      <c r="G14" s="86"/>
      <c r="H14" s="189">
        <f t="shared" si="0"/>
        <v>0</v>
      </c>
      <c r="I14" s="8"/>
      <c r="J14" s="8"/>
      <c r="K14" s="8"/>
      <c r="L14" s="8"/>
      <c r="M14" s="8"/>
      <c r="N14" s="185"/>
    </row>
    <row r="15" spans="1:14" ht="18">
      <c r="A15" s="122" t="s">
        <v>32</v>
      </c>
      <c r="B15" s="123" t="s">
        <v>33</v>
      </c>
      <c r="C15" s="125">
        <v>0</v>
      </c>
      <c r="D15" s="124">
        <v>33560</v>
      </c>
      <c r="E15" s="117">
        <f>D15-C15</f>
        <v>33560</v>
      </c>
      <c r="F15" s="118" t="e">
        <f>D15*100/C15</f>
        <v>#DIV/0!</v>
      </c>
      <c r="G15" s="86" t="s">
        <v>358</v>
      </c>
      <c r="H15" s="189">
        <f t="shared" si="0"/>
        <v>33560</v>
      </c>
      <c r="I15" s="183">
        <f>D15</f>
        <v>33560</v>
      </c>
      <c r="J15" s="8"/>
      <c r="K15" s="8"/>
      <c r="L15" s="8"/>
      <c r="M15" s="8"/>
      <c r="N15" s="185"/>
    </row>
    <row r="16" spans="1:14" ht="18">
      <c r="A16" s="122" t="s">
        <v>89</v>
      </c>
      <c r="B16" s="123" t="s">
        <v>98</v>
      </c>
      <c r="C16" s="125">
        <f>1800000+50000</f>
        <v>1850000</v>
      </c>
      <c r="D16" s="124">
        <v>398373.5</v>
      </c>
      <c r="E16" s="117">
        <f>D16-C16</f>
        <v>-1451626.5</v>
      </c>
      <c r="F16" s="118">
        <f>D16*100/C16</f>
        <v>21.5337027027027</v>
      </c>
      <c r="G16" s="86"/>
      <c r="H16" s="189">
        <f t="shared" si="0"/>
        <v>0</v>
      </c>
      <c r="I16" s="8"/>
      <c r="J16" s="8"/>
      <c r="K16" s="8"/>
      <c r="L16" s="8"/>
      <c r="M16" s="8"/>
      <c r="N16" s="186">
        <f>D16</f>
        <v>398373.5</v>
      </c>
    </row>
    <row r="17" spans="1:14" ht="30.75" customHeight="1">
      <c r="A17" s="122" t="s">
        <v>202</v>
      </c>
      <c r="B17" s="123" t="s">
        <v>98</v>
      </c>
      <c r="C17" s="125">
        <v>0</v>
      </c>
      <c r="D17" s="124">
        <v>2161626.5</v>
      </c>
      <c r="E17" s="117">
        <f t="shared" si="1"/>
        <v>2161626.5</v>
      </c>
      <c r="F17" s="118" t="e">
        <f t="shared" si="2"/>
        <v>#DIV/0!</v>
      </c>
      <c r="G17" s="87" t="s">
        <v>353</v>
      </c>
      <c r="H17" s="189">
        <f t="shared" si="0"/>
        <v>0</v>
      </c>
      <c r="I17" s="183"/>
      <c r="J17" s="183"/>
      <c r="K17" s="183"/>
      <c r="L17" s="183"/>
      <c r="M17" s="183"/>
      <c r="N17" s="186">
        <f>D17</f>
        <v>2161626.5</v>
      </c>
    </row>
    <row r="18" spans="1:14" ht="18">
      <c r="A18" s="83" t="s">
        <v>73</v>
      </c>
      <c r="B18" s="84" t="s">
        <v>74</v>
      </c>
      <c r="C18" s="94">
        <v>50000</v>
      </c>
      <c r="D18" s="85">
        <v>0</v>
      </c>
      <c r="E18" s="93">
        <f t="shared" si="1"/>
        <v>-50000</v>
      </c>
      <c r="F18" s="12">
        <f t="shared" si="2"/>
        <v>0</v>
      </c>
      <c r="G18" s="87" t="s">
        <v>315</v>
      </c>
      <c r="H18" s="189">
        <f t="shared" si="0"/>
        <v>0</v>
      </c>
      <c r="I18" s="183"/>
      <c r="J18" s="183"/>
      <c r="K18" s="183"/>
      <c r="L18" s="183"/>
      <c r="M18" s="183"/>
      <c r="N18" s="186">
        <f>D18</f>
        <v>0</v>
      </c>
    </row>
    <row r="19" spans="1:14" ht="18">
      <c r="A19" s="83"/>
      <c r="B19" s="84" t="s">
        <v>75</v>
      </c>
      <c r="C19" s="94"/>
      <c r="D19" s="85"/>
      <c r="E19" s="93"/>
      <c r="F19" s="12"/>
      <c r="G19" s="87"/>
      <c r="H19" s="189">
        <f t="shared" si="0"/>
        <v>0</v>
      </c>
      <c r="I19" s="183"/>
      <c r="J19" s="183"/>
      <c r="K19" s="183"/>
      <c r="L19" s="183"/>
      <c r="M19" s="183"/>
      <c r="N19" s="186"/>
    </row>
    <row r="20" spans="1:14" ht="18">
      <c r="A20" s="83"/>
      <c r="B20" s="84"/>
      <c r="C20" s="94"/>
      <c r="D20" s="85"/>
      <c r="E20" s="93"/>
      <c r="F20" s="12"/>
      <c r="G20" s="86"/>
      <c r="H20" s="189">
        <f t="shared" si="0"/>
        <v>0</v>
      </c>
      <c r="I20" s="8"/>
      <c r="J20" s="8"/>
      <c r="K20" s="8"/>
      <c r="L20" s="8"/>
      <c r="M20" s="8"/>
      <c r="N20" s="185"/>
    </row>
    <row r="21" spans="1:14" ht="18">
      <c r="A21" s="126" t="s">
        <v>9</v>
      </c>
      <c r="B21" s="127" t="s">
        <v>10</v>
      </c>
      <c r="C21" s="129">
        <f>SUM(C22)</f>
        <v>5000</v>
      </c>
      <c r="D21" s="128">
        <f>SUM(D22)</f>
        <v>5000</v>
      </c>
      <c r="E21" s="117">
        <f t="shared" si="1"/>
        <v>0</v>
      </c>
      <c r="F21" s="118">
        <f t="shared" si="2"/>
        <v>100</v>
      </c>
      <c r="G21" s="86"/>
      <c r="H21" s="189">
        <f t="shared" si="0"/>
        <v>0</v>
      </c>
      <c r="I21" s="8"/>
      <c r="J21" s="8"/>
      <c r="K21" s="8"/>
      <c r="L21" s="8"/>
      <c r="M21" s="8"/>
      <c r="N21" s="185"/>
    </row>
    <row r="22" spans="1:14" ht="18">
      <c r="A22" s="122" t="s">
        <v>11</v>
      </c>
      <c r="B22" s="123" t="s">
        <v>12</v>
      </c>
      <c r="C22" s="125">
        <v>5000</v>
      </c>
      <c r="D22" s="124">
        <v>5000</v>
      </c>
      <c r="E22" s="117">
        <f t="shared" si="1"/>
        <v>0</v>
      </c>
      <c r="F22" s="118">
        <f t="shared" si="2"/>
        <v>100</v>
      </c>
      <c r="G22" s="86"/>
      <c r="H22" s="189">
        <f t="shared" si="0"/>
        <v>5000</v>
      </c>
      <c r="I22" s="8"/>
      <c r="J22" s="183"/>
      <c r="K22" s="183">
        <f>D22</f>
        <v>5000</v>
      </c>
      <c r="L22" s="8"/>
      <c r="M22" s="8"/>
      <c r="N22" s="185"/>
    </row>
    <row r="23" spans="1:14" ht="18">
      <c r="A23" s="122"/>
      <c r="B23" s="123" t="s">
        <v>13</v>
      </c>
      <c r="C23" s="125"/>
      <c r="D23" s="124"/>
      <c r="E23" s="117"/>
      <c r="F23" s="118"/>
      <c r="G23" s="86"/>
      <c r="H23" s="189">
        <f t="shared" si="0"/>
        <v>0</v>
      </c>
      <c r="I23" s="8"/>
      <c r="J23" s="8"/>
      <c r="K23" s="8"/>
      <c r="L23" s="8"/>
      <c r="M23" s="8"/>
      <c r="N23" s="185"/>
    </row>
    <row r="24" spans="1:14" ht="18">
      <c r="A24" s="122"/>
      <c r="B24" s="123"/>
      <c r="C24" s="125"/>
      <c r="D24" s="124"/>
      <c r="E24" s="117"/>
      <c r="F24" s="118"/>
      <c r="G24" s="86"/>
      <c r="H24" s="189">
        <f t="shared" si="0"/>
        <v>0</v>
      </c>
      <c r="I24" s="8"/>
      <c r="J24" s="8"/>
      <c r="K24" s="8"/>
      <c r="L24" s="8"/>
      <c r="M24" s="8"/>
      <c r="N24" s="185"/>
    </row>
    <row r="25" spans="1:14" ht="18">
      <c r="A25" s="126" t="s">
        <v>14</v>
      </c>
      <c r="B25" s="127" t="s">
        <v>15</v>
      </c>
      <c r="C25" s="129">
        <f>SUM(C26:C27)</f>
        <v>5000</v>
      </c>
      <c r="D25" s="128">
        <f>SUM(D26:D27)</f>
        <v>5000</v>
      </c>
      <c r="E25" s="117">
        <f t="shared" si="1"/>
        <v>0</v>
      </c>
      <c r="F25" s="118">
        <f t="shared" si="2"/>
        <v>100</v>
      </c>
      <c r="G25" s="86"/>
      <c r="H25" s="189">
        <f t="shared" si="0"/>
        <v>0</v>
      </c>
      <c r="I25" s="8"/>
      <c r="J25" s="8"/>
      <c r="K25" s="8"/>
      <c r="L25" s="8"/>
      <c r="M25" s="8"/>
      <c r="N25" s="185"/>
    </row>
    <row r="26" spans="1:14" ht="18">
      <c r="A26" s="122" t="s">
        <v>16</v>
      </c>
      <c r="B26" s="123" t="s">
        <v>17</v>
      </c>
      <c r="C26" s="125">
        <v>2000</v>
      </c>
      <c r="D26" s="124">
        <v>2000</v>
      </c>
      <c r="E26" s="117">
        <f t="shared" si="1"/>
        <v>0</v>
      </c>
      <c r="F26" s="118">
        <f t="shared" si="2"/>
        <v>100</v>
      </c>
      <c r="G26" s="86"/>
      <c r="H26" s="189">
        <f t="shared" si="0"/>
        <v>2000</v>
      </c>
      <c r="I26" s="8"/>
      <c r="J26" s="183">
        <f>D26</f>
        <v>2000</v>
      </c>
      <c r="K26" s="8"/>
      <c r="L26" s="8"/>
      <c r="M26" s="8"/>
      <c r="N26" s="185"/>
    </row>
    <row r="27" spans="1:14" ht="18">
      <c r="A27" s="122" t="s">
        <v>53</v>
      </c>
      <c r="B27" s="123" t="s">
        <v>54</v>
      </c>
      <c r="C27" s="125">
        <v>3000</v>
      </c>
      <c r="D27" s="124">
        <v>3000</v>
      </c>
      <c r="E27" s="117">
        <f t="shared" si="1"/>
        <v>0</v>
      </c>
      <c r="F27" s="118">
        <f t="shared" si="2"/>
        <v>100</v>
      </c>
      <c r="G27" s="86"/>
      <c r="H27" s="189">
        <f t="shared" si="0"/>
        <v>3000</v>
      </c>
      <c r="I27" s="8"/>
      <c r="J27" s="183">
        <f>D27</f>
        <v>3000</v>
      </c>
      <c r="K27" s="8"/>
      <c r="L27" s="8"/>
      <c r="M27" s="8"/>
      <c r="N27" s="185"/>
    </row>
    <row r="28" spans="1:14" ht="18">
      <c r="A28" s="130"/>
      <c r="B28" s="131"/>
      <c r="C28" s="133"/>
      <c r="D28" s="132"/>
      <c r="E28" s="117"/>
      <c r="F28" s="118"/>
      <c r="G28" s="86"/>
      <c r="H28" s="189">
        <f t="shared" si="0"/>
        <v>0</v>
      </c>
      <c r="I28" s="8"/>
      <c r="J28" s="8"/>
      <c r="K28" s="8"/>
      <c r="L28" s="8"/>
      <c r="M28" s="8"/>
      <c r="N28" s="185"/>
    </row>
    <row r="29" spans="1:14" ht="18">
      <c r="A29" s="126" t="s">
        <v>18</v>
      </c>
      <c r="B29" s="127" t="s">
        <v>19</v>
      </c>
      <c r="C29" s="129">
        <f>C31</f>
        <v>163700</v>
      </c>
      <c r="D29" s="128">
        <f>D31</f>
        <v>205086</v>
      </c>
      <c r="E29" s="117">
        <f t="shared" si="1"/>
        <v>41386</v>
      </c>
      <c r="F29" s="118">
        <f t="shared" si="2"/>
        <v>125.28161270616982</v>
      </c>
      <c r="G29" s="86"/>
      <c r="H29" s="189">
        <f t="shared" si="0"/>
        <v>0</v>
      </c>
      <c r="I29" s="8"/>
      <c r="J29" s="8"/>
      <c r="K29" s="8"/>
      <c r="L29" s="8"/>
      <c r="M29" s="8"/>
      <c r="N29" s="185"/>
    </row>
    <row r="30" spans="1:14" ht="18">
      <c r="A30" s="122"/>
      <c r="B30" s="123"/>
      <c r="C30" s="125"/>
      <c r="D30" s="124"/>
      <c r="E30" s="117"/>
      <c r="F30" s="118"/>
      <c r="G30" s="86"/>
      <c r="H30" s="189">
        <f t="shared" si="0"/>
        <v>0</v>
      </c>
      <c r="I30" s="8"/>
      <c r="J30" s="8"/>
      <c r="K30" s="8"/>
      <c r="L30" s="8"/>
      <c r="M30" s="8"/>
      <c r="N30" s="185"/>
    </row>
    <row r="31" spans="1:14" ht="18">
      <c r="A31" s="126" t="s">
        <v>20</v>
      </c>
      <c r="B31" s="127" t="s">
        <v>21</v>
      </c>
      <c r="C31" s="129">
        <f>SUM(C32:C42)</f>
        <v>163700</v>
      </c>
      <c r="D31" s="128">
        <f>SUM(D32:D42)</f>
        <v>205086</v>
      </c>
      <c r="E31" s="117">
        <f t="shared" si="1"/>
        <v>41386</v>
      </c>
      <c r="F31" s="118">
        <f t="shared" si="2"/>
        <v>125.28161270616982</v>
      </c>
      <c r="G31" s="86"/>
      <c r="H31" s="189">
        <f t="shared" si="0"/>
        <v>0</v>
      </c>
      <c r="I31" s="8"/>
      <c r="J31" s="8"/>
      <c r="K31" s="8"/>
      <c r="L31" s="8"/>
      <c r="M31" s="8"/>
      <c r="N31" s="185"/>
    </row>
    <row r="32" spans="1:14" ht="18">
      <c r="A32" s="155" t="s">
        <v>231</v>
      </c>
      <c r="B32" s="156" t="s">
        <v>232</v>
      </c>
      <c r="C32" s="180">
        <v>1000</v>
      </c>
      <c r="D32" s="157">
        <v>1200</v>
      </c>
      <c r="E32" s="117">
        <f t="shared" si="1"/>
        <v>200</v>
      </c>
      <c r="F32" s="118">
        <f t="shared" si="2"/>
        <v>120</v>
      </c>
      <c r="G32" s="86"/>
      <c r="H32" s="189">
        <f t="shared" si="0"/>
        <v>1200</v>
      </c>
      <c r="I32" s="8"/>
      <c r="J32" s="8"/>
      <c r="K32" s="8"/>
      <c r="L32" s="183">
        <f>D32</f>
        <v>1200</v>
      </c>
      <c r="M32" s="8"/>
      <c r="N32" s="185"/>
    </row>
    <row r="33" spans="1:14" ht="18">
      <c r="A33" s="122" t="s">
        <v>22</v>
      </c>
      <c r="B33" s="123" t="s">
        <v>23</v>
      </c>
      <c r="C33" s="125">
        <v>63100</v>
      </c>
      <c r="D33" s="124">
        <v>68508</v>
      </c>
      <c r="E33" s="117">
        <f t="shared" si="1"/>
        <v>5408</v>
      </c>
      <c r="F33" s="118">
        <f t="shared" si="2"/>
        <v>108.57052297939778</v>
      </c>
      <c r="G33" s="86"/>
      <c r="H33" s="189">
        <f t="shared" si="0"/>
        <v>68508</v>
      </c>
      <c r="I33" s="183">
        <f>D33</f>
        <v>68508</v>
      </c>
      <c r="J33" s="8"/>
      <c r="K33" s="8"/>
      <c r="L33" s="8"/>
      <c r="M33" s="8"/>
      <c r="N33" s="185"/>
    </row>
    <row r="34" spans="1:14" ht="18">
      <c r="A34" s="122" t="s">
        <v>24</v>
      </c>
      <c r="B34" s="123" t="s">
        <v>25</v>
      </c>
      <c r="C34" s="125">
        <v>4900</v>
      </c>
      <c r="D34" s="124">
        <v>5264</v>
      </c>
      <c r="E34" s="117">
        <f t="shared" si="1"/>
        <v>364</v>
      </c>
      <c r="F34" s="118">
        <f t="shared" si="2"/>
        <v>107.42857142857143</v>
      </c>
      <c r="G34" s="86"/>
      <c r="H34" s="189">
        <f t="shared" si="0"/>
        <v>5264</v>
      </c>
      <c r="I34" s="183">
        <f>D34</f>
        <v>5264</v>
      </c>
      <c r="J34" s="8"/>
      <c r="K34" s="8"/>
      <c r="L34" s="8"/>
      <c r="M34" s="8"/>
      <c r="N34" s="185"/>
    </row>
    <row r="35" spans="1:14" ht="18">
      <c r="A35" s="122" t="s">
        <v>26</v>
      </c>
      <c r="B35" s="123" t="s">
        <v>27</v>
      </c>
      <c r="C35" s="125">
        <v>10300</v>
      </c>
      <c r="D35" s="124">
        <v>11206</v>
      </c>
      <c r="E35" s="117">
        <f t="shared" si="1"/>
        <v>906</v>
      </c>
      <c r="F35" s="118">
        <f t="shared" si="2"/>
        <v>108.79611650485437</v>
      </c>
      <c r="G35" s="86"/>
      <c r="H35" s="189">
        <f t="shared" si="0"/>
        <v>11206</v>
      </c>
      <c r="I35" s="183">
        <f>D35</f>
        <v>11206</v>
      </c>
      <c r="J35" s="8"/>
      <c r="K35" s="8"/>
      <c r="L35" s="8"/>
      <c r="M35" s="8"/>
      <c r="N35" s="185"/>
    </row>
    <row r="36" spans="1:14" ht="18">
      <c r="A36" s="122" t="s">
        <v>28</v>
      </c>
      <c r="B36" s="123" t="s">
        <v>29</v>
      </c>
      <c r="C36" s="125">
        <v>1700</v>
      </c>
      <c r="D36" s="124">
        <v>1808</v>
      </c>
      <c r="E36" s="117">
        <f t="shared" si="1"/>
        <v>108</v>
      </c>
      <c r="F36" s="118">
        <f t="shared" si="2"/>
        <v>106.3529411764706</v>
      </c>
      <c r="G36" s="86"/>
      <c r="H36" s="189">
        <f t="shared" si="0"/>
        <v>1808</v>
      </c>
      <c r="I36" s="183">
        <f>D36</f>
        <v>1808</v>
      </c>
      <c r="J36" s="8"/>
      <c r="K36" s="8"/>
      <c r="L36" s="8"/>
      <c r="M36" s="8"/>
      <c r="N36" s="185"/>
    </row>
    <row r="37" spans="1:14" ht="18">
      <c r="A37" s="122" t="s">
        <v>30</v>
      </c>
      <c r="B37" s="123" t="s">
        <v>59</v>
      </c>
      <c r="C37" s="125">
        <v>3100</v>
      </c>
      <c r="D37" s="124">
        <v>2900</v>
      </c>
      <c r="E37" s="117">
        <f t="shared" si="1"/>
        <v>-200</v>
      </c>
      <c r="F37" s="118">
        <f t="shared" si="2"/>
        <v>93.54838709677419</v>
      </c>
      <c r="G37" s="86"/>
      <c r="H37" s="189">
        <f t="shared" si="0"/>
        <v>2900</v>
      </c>
      <c r="I37" s="8"/>
      <c r="J37" s="183">
        <f>D37</f>
        <v>2900</v>
      </c>
      <c r="K37" s="8"/>
      <c r="L37" s="8"/>
      <c r="M37" s="8"/>
      <c r="N37" s="185"/>
    </row>
    <row r="38" spans="1:14" ht="18">
      <c r="A38" s="122" t="s">
        <v>32</v>
      </c>
      <c r="B38" s="123" t="s">
        <v>33</v>
      </c>
      <c r="C38" s="125">
        <v>1000</v>
      </c>
      <c r="D38" s="124">
        <v>1000</v>
      </c>
      <c r="E38" s="117">
        <f t="shared" si="1"/>
        <v>0</v>
      </c>
      <c r="F38" s="118">
        <f t="shared" si="2"/>
        <v>100</v>
      </c>
      <c r="G38" s="86"/>
      <c r="H38" s="189">
        <f t="shared" si="0"/>
        <v>1000</v>
      </c>
      <c r="I38" s="183">
        <f>D38</f>
        <v>1000</v>
      </c>
      <c r="J38" s="8"/>
      <c r="K38" s="8"/>
      <c r="L38" s="8"/>
      <c r="M38" s="8"/>
      <c r="N38" s="185"/>
    </row>
    <row r="39" spans="1:14" ht="18">
      <c r="A39" s="122" t="s">
        <v>34</v>
      </c>
      <c r="B39" s="123" t="s">
        <v>35</v>
      </c>
      <c r="C39" s="125">
        <v>18000</v>
      </c>
      <c r="D39" s="124">
        <v>18000</v>
      </c>
      <c r="E39" s="117">
        <f t="shared" si="1"/>
        <v>0</v>
      </c>
      <c r="F39" s="118">
        <f t="shared" si="2"/>
        <v>100</v>
      </c>
      <c r="G39" s="86"/>
      <c r="H39" s="189">
        <f t="shared" si="0"/>
        <v>18000</v>
      </c>
      <c r="I39" s="8"/>
      <c r="J39" s="183">
        <f>D39</f>
        <v>18000</v>
      </c>
      <c r="K39" s="8"/>
      <c r="L39" s="8"/>
      <c r="M39" s="8"/>
      <c r="N39" s="185"/>
    </row>
    <row r="40" spans="1:14" ht="18">
      <c r="A40" s="122" t="s">
        <v>16</v>
      </c>
      <c r="B40" s="123" t="s">
        <v>17</v>
      </c>
      <c r="C40" s="125">
        <v>50000</v>
      </c>
      <c r="D40" s="124">
        <v>85000</v>
      </c>
      <c r="E40" s="117">
        <f t="shared" si="1"/>
        <v>35000</v>
      </c>
      <c r="F40" s="118">
        <f t="shared" si="2"/>
        <v>170</v>
      </c>
      <c r="G40" s="86"/>
      <c r="H40" s="189">
        <f t="shared" si="0"/>
        <v>85000</v>
      </c>
      <c r="I40" s="8"/>
      <c r="J40" s="183">
        <f>D40</f>
        <v>85000</v>
      </c>
      <c r="K40" s="8"/>
      <c r="L40" s="8"/>
      <c r="M40" s="8"/>
      <c r="N40" s="185"/>
    </row>
    <row r="41" spans="1:14" ht="18">
      <c r="A41" s="122" t="s">
        <v>36</v>
      </c>
      <c r="B41" s="123" t="s">
        <v>37</v>
      </c>
      <c r="C41" s="125">
        <v>7000</v>
      </c>
      <c r="D41" s="124">
        <v>7000</v>
      </c>
      <c r="E41" s="117">
        <f t="shared" si="1"/>
        <v>0</v>
      </c>
      <c r="F41" s="118">
        <f t="shared" si="2"/>
        <v>100</v>
      </c>
      <c r="G41" s="86"/>
      <c r="H41" s="189">
        <f t="shared" si="0"/>
        <v>7000</v>
      </c>
      <c r="I41" s="8"/>
      <c r="J41" s="183">
        <f>D41</f>
        <v>7000</v>
      </c>
      <c r="K41" s="8"/>
      <c r="L41" s="8"/>
      <c r="M41" s="8"/>
      <c r="N41" s="185"/>
    </row>
    <row r="42" spans="1:14" ht="18">
      <c r="A42" s="130" t="s">
        <v>38</v>
      </c>
      <c r="B42" s="131" t="s">
        <v>39</v>
      </c>
      <c r="C42" s="133">
        <v>3600</v>
      </c>
      <c r="D42" s="132">
        <v>3200</v>
      </c>
      <c r="E42" s="117">
        <f t="shared" si="1"/>
        <v>-400</v>
      </c>
      <c r="F42" s="118">
        <f t="shared" si="2"/>
        <v>88.88888888888889</v>
      </c>
      <c r="G42" s="86"/>
      <c r="H42" s="189">
        <f t="shared" si="0"/>
        <v>3200</v>
      </c>
      <c r="I42" s="8"/>
      <c r="J42" s="183">
        <f>D42</f>
        <v>3200</v>
      </c>
      <c r="K42" s="8"/>
      <c r="L42" s="8"/>
      <c r="M42" s="8"/>
      <c r="N42" s="185"/>
    </row>
    <row r="43" spans="1:14" ht="18">
      <c r="A43" s="89" t="s">
        <v>40</v>
      </c>
      <c r="B43" s="90" t="s">
        <v>41</v>
      </c>
      <c r="C43" s="92">
        <f>SUM(C49+C60+C45)</f>
        <v>503000</v>
      </c>
      <c r="D43" s="91">
        <f>SUM(D49+D60+D45)</f>
        <v>1291207</v>
      </c>
      <c r="E43" s="93">
        <f t="shared" si="1"/>
        <v>788207</v>
      </c>
      <c r="F43" s="12">
        <f t="shared" si="2"/>
        <v>256.70119284294236</v>
      </c>
      <c r="G43" s="86"/>
      <c r="H43" s="189">
        <f t="shared" si="0"/>
        <v>0</v>
      </c>
      <c r="I43" s="8"/>
      <c r="J43" s="8"/>
      <c r="K43" s="8"/>
      <c r="L43" s="8"/>
      <c r="M43" s="8"/>
      <c r="N43" s="185"/>
    </row>
    <row r="44" spans="1:14" ht="18">
      <c r="A44" s="83"/>
      <c r="B44" s="84"/>
      <c r="C44" s="94"/>
      <c r="D44" s="85"/>
      <c r="E44" s="93"/>
      <c r="F44" s="12"/>
      <c r="G44" s="86"/>
      <c r="H44" s="189">
        <f t="shared" si="0"/>
        <v>0</v>
      </c>
      <c r="I44" s="8"/>
      <c r="J44" s="8"/>
      <c r="K44" s="8"/>
      <c r="L44" s="8"/>
      <c r="M44" s="8"/>
      <c r="N44" s="185"/>
    </row>
    <row r="45" spans="1:14" ht="18">
      <c r="A45" s="95" t="s">
        <v>204</v>
      </c>
      <c r="B45" s="96" t="s">
        <v>205</v>
      </c>
      <c r="C45" s="98">
        <f>SUM(C46:C47)</f>
        <v>0</v>
      </c>
      <c r="D45" s="97">
        <f>SUM(D46:D47)</f>
        <v>447707</v>
      </c>
      <c r="E45" s="93">
        <f>D45-C45</f>
        <v>447707</v>
      </c>
      <c r="F45" s="12" t="e">
        <f>D45*100/C45</f>
        <v>#DIV/0!</v>
      </c>
      <c r="G45" s="86"/>
      <c r="H45" s="189">
        <f t="shared" si="0"/>
        <v>0</v>
      </c>
      <c r="I45" s="8"/>
      <c r="J45" s="8"/>
      <c r="K45" s="8"/>
      <c r="L45" s="8"/>
      <c r="M45" s="8"/>
      <c r="N45" s="185"/>
    </row>
    <row r="46" spans="1:14" ht="63" customHeight="1">
      <c r="A46" s="122" t="s">
        <v>239</v>
      </c>
      <c r="B46" s="137" t="s">
        <v>379</v>
      </c>
      <c r="C46" s="125">
        <v>0</v>
      </c>
      <c r="D46" s="124">
        <v>350000</v>
      </c>
      <c r="E46" s="117">
        <f>D46-C46</f>
        <v>350000</v>
      </c>
      <c r="F46" s="12" t="e">
        <f>D46*100/C46</f>
        <v>#DIV/0!</v>
      </c>
      <c r="G46" s="86" t="s">
        <v>359</v>
      </c>
      <c r="H46" s="189">
        <f t="shared" si="0"/>
        <v>350000</v>
      </c>
      <c r="I46" s="183"/>
      <c r="J46" s="183"/>
      <c r="K46" s="183">
        <f>D46</f>
        <v>350000</v>
      </c>
      <c r="L46" s="183"/>
      <c r="M46" s="183"/>
      <c r="N46" s="186"/>
    </row>
    <row r="47" spans="1:14" ht="81" customHeight="1">
      <c r="A47" s="139" t="s">
        <v>166</v>
      </c>
      <c r="B47" s="190" t="s">
        <v>378</v>
      </c>
      <c r="C47" s="142">
        <v>0</v>
      </c>
      <c r="D47" s="141">
        <v>97707</v>
      </c>
      <c r="E47" s="145">
        <f>D47-C47</f>
        <v>97707</v>
      </c>
      <c r="F47" s="12" t="e">
        <f>D47*100/C47</f>
        <v>#DIV/0!</v>
      </c>
      <c r="G47" s="86" t="s">
        <v>360</v>
      </c>
      <c r="H47" s="189">
        <f t="shared" si="0"/>
        <v>0</v>
      </c>
      <c r="I47" s="183"/>
      <c r="J47" s="183"/>
      <c r="K47" s="183"/>
      <c r="L47" s="183"/>
      <c r="M47" s="183"/>
      <c r="N47" s="186">
        <f>D47</f>
        <v>97707</v>
      </c>
    </row>
    <row r="48" spans="1:14" ht="18">
      <c r="A48" s="83"/>
      <c r="B48" s="84"/>
      <c r="C48" s="94"/>
      <c r="D48" s="85"/>
      <c r="E48" s="93"/>
      <c r="F48" s="12"/>
      <c r="G48" s="86"/>
      <c r="H48" s="189">
        <f t="shared" si="0"/>
        <v>0</v>
      </c>
      <c r="I48" s="8"/>
      <c r="J48" s="8"/>
      <c r="K48" s="8"/>
      <c r="L48" s="8"/>
      <c r="M48" s="8"/>
      <c r="N48" s="185"/>
    </row>
    <row r="49" spans="1:14" ht="18">
      <c r="A49" s="95" t="s">
        <v>42</v>
      </c>
      <c r="B49" s="96" t="s">
        <v>43</v>
      </c>
      <c r="C49" s="98">
        <f>SUM(C50:C58)</f>
        <v>500000</v>
      </c>
      <c r="D49" s="97">
        <f>SUM(D50:D58)</f>
        <v>840500</v>
      </c>
      <c r="E49" s="93">
        <f t="shared" si="1"/>
        <v>340500</v>
      </c>
      <c r="F49" s="12">
        <f t="shared" si="2"/>
        <v>168.1</v>
      </c>
      <c r="G49" s="86"/>
      <c r="H49" s="189">
        <f t="shared" si="0"/>
        <v>0</v>
      </c>
      <c r="I49" s="8"/>
      <c r="J49" s="8"/>
      <c r="K49" s="8"/>
      <c r="L49" s="8"/>
      <c r="M49" s="8"/>
      <c r="N49" s="185"/>
    </row>
    <row r="50" spans="1:14" ht="18">
      <c r="A50" s="83" t="s">
        <v>32</v>
      </c>
      <c r="B50" s="84" t="s">
        <v>33</v>
      </c>
      <c r="C50" s="94">
        <v>9000</v>
      </c>
      <c r="D50" s="85">
        <v>6000</v>
      </c>
      <c r="E50" s="93">
        <f t="shared" si="1"/>
        <v>-3000</v>
      </c>
      <c r="F50" s="12">
        <f t="shared" si="2"/>
        <v>66.66666666666667</v>
      </c>
      <c r="G50" s="86" t="s">
        <v>316</v>
      </c>
      <c r="H50" s="189">
        <f t="shared" si="0"/>
        <v>6000</v>
      </c>
      <c r="I50" s="183">
        <f>D50</f>
        <v>6000</v>
      </c>
      <c r="J50" s="8"/>
      <c r="K50" s="8"/>
      <c r="L50" s="8"/>
      <c r="M50" s="8"/>
      <c r="N50" s="185"/>
    </row>
    <row r="51" spans="1:14" ht="18">
      <c r="A51" s="83" t="s">
        <v>34</v>
      </c>
      <c r="B51" s="84" t="s">
        <v>35</v>
      </c>
      <c r="C51" s="94">
        <v>12000</v>
      </c>
      <c r="D51" s="85">
        <v>5000</v>
      </c>
      <c r="E51" s="93">
        <f t="shared" si="1"/>
        <v>-7000</v>
      </c>
      <c r="F51" s="12">
        <f t="shared" si="2"/>
        <v>41.666666666666664</v>
      </c>
      <c r="G51" s="86" t="s">
        <v>317</v>
      </c>
      <c r="H51" s="189">
        <f t="shared" si="0"/>
        <v>5000</v>
      </c>
      <c r="I51" s="8"/>
      <c r="J51" s="183">
        <f>D51</f>
        <v>5000</v>
      </c>
      <c r="K51" s="8"/>
      <c r="L51" s="8"/>
      <c r="M51" s="8"/>
      <c r="N51" s="185"/>
    </row>
    <row r="52" spans="1:14" ht="54">
      <c r="A52" s="83" t="s">
        <v>44</v>
      </c>
      <c r="B52" s="84" t="s">
        <v>45</v>
      </c>
      <c r="C52" s="94">
        <f>10000+8000+40000+40000+30000+150000</f>
        <v>278000</v>
      </c>
      <c r="D52" s="85">
        <v>200000</v>
      </c>
      <c r="E52" s="93">
        <f t="shared" si="1"/>
        <v>-78000</v>
      </c>
      <c r="F52" s="12">
        <f t="shared" si="2"/>
        <v>71.94244604316546</v>
      </c>
      <c r="G52" s="86" t="s">
        <v>318</v>
      </c>
      <c r="H52" s="189">
        <f t="shared" si="0"/>
        <v>200000</v>
      </c>
      <c r="I52" s="8"/>
      <c r="J52" s="183">
        <f>D52</f>
        <v>200000</v>
      </c>
      <c r="K52" s="8"/>
      <c r="L52" s="8"/>
      <c r="M52" s="8"/>
      <c r="N52" s="185"/>
    </row>
    <row r="53" spans="1:14" ht="36">
      <c r="A53" s="83" t="s">
        <v>16</v>
      </c>
      <c r="B53" s="84" t="s">
        <v>17</v>
      </c>
      <c r="C53" s="94">
        <f>19000+15000+15000+28000+5000</f>
        <v>82000</v>
      </c>
      <c r="D53" s="85">
        <v>34000</v>
      </c>
      <c r="E53" s="93">
        <f t="shared" si="1"/>
        <v>-48000</v>
      </c>
      <c r="F53" s="12">
        <f t="shared" si="2"/>
        <v>41.46341463414634</v>
      </c>
      <c r="G53" s="86" t="s">
        <v>321</v>
      </c>
      <c r="H53" s="189">
        <f t="shared" si="0"/>
        <v>34000</v>
      </c>
      <c r="I53" s="8"/>
      <c r="J53" s="183">
        <f>D53</f>
        <v>34000</v>
      </c>
      <c r="K53" s="8"/>
      <c r="L53" s="8"/>
      <c r="M53" s="8"/>
      <c r="N53" s="185"/>
    </row>
    <row r="54" spans="1:14" ht="18">
      <c r="A54" s="83" t="s">
        <v>53</v>
      </c>
      <c r="B54" s="84" t="s">
        <v>54</v>
      </c>
      <c r="C54" s="94">
        <f>1000</f>
        <v>1000</v>
      </c>
      <c r="D54" s="85">
        <v>500</v>
      </c>
      <c r="E54" s="93">
        <f t="shared" si="1"/>
        <v>-500</v>
      </c>
      <c r="F54" s="12">
        <f t="shared" si="2"/>
        <v>50</v>
      </c>
      <c r="G54" s="86" t="s">
        <v>319</v>
      </c>
      <c r="H54" s="189">
        <f t="shared" si="0"/>
        <v>500</v>
      </c>
      <c r="I54" s="8"/>
      <c r="J54" s="183">
        <f>D54</f>
        <v>500</v>
      </c>
      <c r="K54" s="8"/>
      <c r="L54" s="8"/>
      <c r="M54" s="8"/>
      <c r="N54" s="185"/>
    </row>
    <row r="55" spans="1:14" ht="18">
      <c r="A55" s="83" t="s">
        <v>219</v>
      </c>
      <c r="B55" s="84" t="s">
        <v>220</v>
      </c>
      <c r="C55" s="94">
        <v>1000</v>
      </c>
      <c r="D55" s="85">
        <v>0</v>
      </c>
      <c r="E55" s="93">
        <f t="shared" si="1"/>
        <v>-1000</v>
      </c>
      <c r="F55" s="12">
        <f t="shared" si="2"/>
        <v>0</v>
      </c>
      <c r="G55" s="86" t="s">
        <v>320</v>
      </c>
      <c r="H55" s="189">
        <f t="shared" si="0"/>
        <v>0</v>
      </c>
      <c r="I55" s="8"/>
      <c r="J55" s="183">
        <f>D55</f>
        <v>0</v>
      </c>
      <c r="K55" s="8"/>
      <c r="L55" s="8"/>
      <c r="M55" s="8"/>
      <c r="N55" s="185"/>
    </row>
    <row r="56" spans="1:14" ht="18">
      <c r="A56" s="83"/>
      <c r="B56" s="84" t="s">
        <v>221</v>
      </c>
      <c r="C56" s="94"/>
      <c r="D56" s="85"/>
      <c r="E56" s="93">
        <f t="shared" si="1"/>
        <v>0</v>
      </c>
      <c r="F56" s="12"/>
      <c r="G56" s="86"/>
      <c r="H56" s="189">
        <f t="shared" si="0"/>
        <v>0</v>
      </c>
      <c r="I56" s="8"/>
      <c r="J56" s="8"/>
      <c r="K56" s="8"/>
      <c r="L56" s="8"/>
      <c r="M56" s="8"/>
      <c r="N56" s="185"/>
    </row>
    <row r="57" spans="1:14" ht="18">
      <c r="A57" s="122" t="s">
        <v>89</v>
      </c>
      <c r="B57" s="123" t="s">
        <v>98</v>
      </c>
      <c r="C57" s="125">
        <f>100000</f>
        <v>100000</v>
      </c>
      <c r="D57" s="124">
        <v>575000</v>
      </c>
      <c r="E57" s="117">
        <f t="shared" si="1"/>
        <v>475000</v>
      </c>
      <c r="F57" s="118">
        <f t="shared" si="2"/>
        <v>575</v>
      </c>
      <c r="G57" s="86" t="s">
        <v>355</v>
      </c>
      <c r="H57" s="189">
        <f t="shared" si="0"/>
        <v>0</v>
      </c>
      <c r="I57" s="183"/>
      <c r="J57" s="183"/>
      <c r="K57" s="183"/>
      <c r="L57" s="183"/>
      <c r="M57" s="183"/>
      <c r="N57" s="186">
        <f>D57</f>
        <v>575000</v>
      </c>
    </row>
    <row r="58" spans="1:14" ht="18">
      <c r="A58" s="83" t="s">
        <v>73</v>
      </c>
      <c r="B58" s="84" t="s">
        <v>222</v>
      </c>
      <c r="C58" s="94">
        <v>17000</v>
      </c>
      <c r="D58" s="85">
        <v>20000</v>
      </c>
      <c r="E58" s="93">
        <f t="shared" si="1"/>
        <v>3000</v>
      </c>
      <c r="F58" s="12">
        <f t="shared" si="2"/>
        <v>117.6470588235294</v>
      </c>
      <c r="G58" s="86" t="s">
        <v>308</v>
      </c>
      <c r="H58" s="189">
        <f t="shared" si="0"/>
        <v>0</v>
      </c>
      <c r="I58" s="183"/>
      <c r="J58" s="183"/>
      <c r="K58" s="183"/>
      <c r="L58" s="183"/>
      <c r="M58" s="183"/>
      <c r="N58" s="186">
        <f>D58</f>
        <v>20000</v>
      </c>
    </row>
    <row r="59" spans="1:14" ht="18">
      <c r="A59" s="83"/>
      <c r="B59" s="84"/>
      <c r="C59" s="94"/>
      <c r="D59" s="85"/>
      <c r="E59" s="93"/>
      <c r="F59" s="12"/>
      <c r="G59" s="86"/>
      <c r="H59" s="189">
        <f t="shared" si="0"/>
        <v>0</v>
      </c>
      <c r="I59" s="8"/>
      <c r="J59" s="8"/>
      <c r="K59" s="8"/>
      <c r="L59" s="8"/>
      <c r="M59" s="8"/>
      <c r="N59" s="185"/>
    </row>
    <row r="60" spans="1:14" ht="18">
      <c r="A60" s="126" t="s">
        <v>46</v>
      </c>
      <c r="B60" s="127" t="s">
        <v>47</v>
      </c>
      <c r="C60" s="129">
        <f>SUM(C61:C64)</f>
        <v>3000</v>
      </c>
      <c r="D60" s="128">
        <f>SUM(D61:D64)</f>
        <v>3000</v>
      </c>
      <c r="E60" s="117">
        <f t="shared" si="1"/>
        <v>0</v>
      </c>
      <c r="F60" s="118">
        <f t="shared" si="2"/>
        <v>100</v>
      </c>
      <c r="G60" s="86"/>
      <c r="H60" s="189">
        <f t="shared" si="0"/>
        <v>0</v>
      </c>
      <c r="I60" s="8"/>
      <c r="J60" s="8"/>
      <c r="K60" s="8"/>
      <c r="L60" s="8"/>
      <c r="M60" s="8"/>
      <c r="N60" s="185"/>
    </row>
    <row r="61" spans="1:14" ht="18">
      <c r="A61" s="122" t="s">
        <v>32</v>
      </c>
      <c r="B61" s="123" t="s">
        <v>33</v>
      </c>
      <c r="C61" s="125">
        <v>1000</v>
      </c>
      <c r="D61" s="124">
        <v>500</v>
      </c>
      <c r="E61" s="117">
        <f t="shared" si="1"/>
        <v>-500</v>
      </c>
      <c r="F61" s="118">
        <f t="shared" si="2"/>
        <v>50</v>
      </c>
      <c r="G61" s="86"/>
      <c r="H61" s="189">
        <f t="shared" si="0"/>
        <v>500</v>
      </c>
      <c r="I61" s="191">
        <f>D61</f>
        <v>500</v>
      </c>
      <c r="J61" s="8"/>
      <c r="K61" s="8"/>
      <c r="L61" s="8"/>
      <c r="M61" s="8"/>
      <c r="N61" s="185"/>
    </row>
    <row r="62" spans="1:14" ht="18">
      <c r="A62" s="122" t="s">
        <v>34</v>
      </c>
      <c r="B62" s="123" t="s">
        <v>35</v>
      </c>
      <c r="C62" s="125">
        <v>1000</v>
      </c>
      <c r="D62" s="124">
        <v>500</v>
      </c>
      <c r="E62" s="117">
        <f t="shared" si="1"/>
        <v>-500</v>
      </c>
      <c r="F62" s="118">
        <f t="shared" si="2"/>
        <v>50</v>
      </c>
      <c r="G62" s="86"/>
      <c r="H62" s="189">
        <f t="shared" si="0"/>
        <v>500</v>
      </c>
      <c r="I62" s="8"/>
      <c r="J62" s="183">
        <f>D62</f>
        <v>500</v>
      </c>
      <c r="K62" s="8"/>
      <c r="L62" s="8"/>
      <c r="M62" s="8"/>
      <c r="N62" s="185"/>
    </row>
    <row r="63" spans="1:14" ht="18">
      <c r="A63" s="122" t="s">
        <v>44</v>
      </c>
      <c r="B63" s="123" t="s">
        <v>45</v>
      </c>
      <c r="C63" s="125">
        <v>0</v>
      </c>
      <c r="D63" s="124">
        <v>1000</v>
      </c>
      <c r="E63" s="117">
        <f t="shared" si="1"/>
        <v>1000</v>
      </c>
      <c r="F63" s="118" t="e">
        <f t="shared" si="2"/>
        <v>#DIV/0!</v>
      </c>
      <c r="G63" s="86"/>
      <c r="H63" s="189">
        <f t="shared" si="0"/>
        <v>1000</v>
      </c>
      <c r="I63" s="8"/>
      <c r="J63" s="183">
        <f>D63</f>
        <v>1000</v>
      </c>
      <c r="K63" s="8"/>
      <c r="L63" s="8"/>
      <c r="M63" s="8"/>
      <c r="N63" s="185"/>
    </row>
    <row r="64" spans="1:14" ht="18">
      <c r="A64" s="130" t="s">
        <v>16</v>
      </c>
      <c r="B64" s="131" t="s">
        <v>17</v>
      </c>
      <c r="C64" s="133">
        <v>1000</v>
      </c>
      <c r="D64" s="132">
        <v>1000</v>
      </c>
      <c r="E64" s="117">
        <f t="shared" si="1"/>
        <v>0</v>
      </c>
      <c r="F64" s="118">
        <f t="shared" si="2"/>
        <v>100</v>
      </c>
      <c r="G64" s="86"/>
      <c r="H64" s="189">
        <f t="shared" si="0"/>
        <v>1000</v>
      </c>
      <c r="I64" s="8"/>
      <c r="J64" s="183">
        <f>D64</f>
        <v>1000</v>
      </c>
      <c r="K64" s="8"/>
      <c r="L64" s="8"/>
      <c r="M64" s="8"/>
      <c r="N64" s="185"/>
    </row>
    <row r="65" spans="1:14" ht="18">
      <c r="A65" s="89" t="s">
        <v>48</v>
      </c>
      <c r="B65" s="90" t="s">
        <v>49</v>
      </c>
      <c r="C65" s="92">
        <f>SUM(C67)</f>
        <v>147160</v>
      </c>
      <c r="D65" s="91">
        <f>SUM(D67)</f>
        <v>127160</v>
      </c>
      <c r="E65" s="93">
        <f t="shared" si="1"/>
        <v>-20000</v>
      </c>
      <c r="F65" s="12">
        <f t="shared" si="2"/>
        <v>86.40935036694754</v>
      </c>
      <c r="G65" s="86"/>
      <c r="H65" s="189">
        <f t="shared" si="0"/>
        <v>0</v>
      </c>
      <c r="I65" s="8"/>
      <c r="J65" s="8"/>
      <c r="K65" s="8"/>
      <c r="L65" s="8"/>
      <c r="M65" s="8"/>
      <c r="N65" s="185"/>
    </row>
    <row r="66" spans="1:14" ht="18">
      <c r="A66" s="83"/>
      <c r="B66" s="84"/>
      <c r="C66" s="94"/>
      <c r="D66" s="85"/>
      <c r="E66" s="93">
        <f t="shared" si="1"/>
        <v>0</v>
      </c>
      <c r="F66" s="12"/>
      <c r="G66" s="86"/>
      <c r="H66" s="189">
        <f t="shared" si="0"/>
        <v>0</v>
      </c>
      <c r="I66" s="8"/>
      <c r="J66" s="8"/>
      <c r="K66" s="8"/>
      <c r="L66" s="8"/>
      <c r="M66" s="8"/>
      <c r="N66" s="185"/>
    </row>
    <row r="67" spans="1:14" ht="18">
      <c r="A67" s="95" t="s">
        <v>50</v>
      </c>
      <c r="B67" s="96" t="s">
        <v>51</v>
      </c>
      <c r="C67" s="98">
        <f>SUM(C68:C74)</f>
        <v>147160</v>
      </c>
      <c r="D67" s="97">
        <f>SUM(D68:D74)</f>
        <v>127160</v>
      </c>
      <c r="E67" s="93">
        <f t="shared" si="1"/>
        <v>-20000</v>
      </c>
      <c r="F67" s="12">
        <f t="shared" si="2"/>
        <v>86.40935036694754</v>
      </c>
      <c r="G67" s="86"/>
      <c r="H67" s="189">
        <f t="shared" si="0"/>
        <v>0</v>
      </c>
      <c r="I67" s="8"/>
      <c r="J67" s="8"/>
      <c r="K67" s="8"/>
      <c r="L67" s="8"/>
      <c r="M67" s="8"/>
      <c r="N67" s="185"/>
    </row>
    <row r="68" spans="1:14" ht="18">
      <c r="A68" s="83" t="s">
        <v>32</v>
      </c>
      <c r="B68" s="84" t="s">
        <v>33</v>
      </c>
      <c r="C68" s="94">
        <f>12000</f>
        <v>12000</v>
      </c>
      <c r="D68" s="85">
        <f>12000</f>
        <v>12000</v>
      </c>
      <c r="E68" s="93">
        <f t="shared" si="1"/>
        <v>0</v>
      </c>
      <c r="F68" s="12">
        <f t="shared" si="2"/>
        <v>100</v>
      </c>
      <c r="G68" s="86"/>
      <c r="H68" s="189">
        <f t="shared" si="0"/>
        <v>12000</v>
      </c>
      <c r="I68" s="191">
        <f>D68</f>
        <v>12000</v>
      </c>
      <c r="J68" s="8"/>
      <c r="K68" s="8"/>
      <c r="L68" s="8"/>
      <c r="M68" s="8"/>
      <c r="N68" s="185"/>
    </row>
    <row r="69" spans="1:14" ht="18">
      <c r="A69" s="83" t="s">
        <v>34</v>
      </c>
      <c r="B69" s="84" t="s">
        <v>35</v>
      </c>
      <c r="C69" s="94">
        <v>1000</v>
      </c>
      <c r="D69" s="85">
        <v>1000</v>
      </c>
      <c r="E69" s="93">
        <f t="shared" si="1"/>
        <v>0</v>
      </c>
      <c r="F69" s="12">
        <f t="shared" si="2"/>
        <v>100</v>
      </c>
      <c r="G69" s="86"/>
      <c r="H69" s="189">
        <f t="shared" si="0"/>
        <v>1000</v>
      </c>
      <c r="I69" s="8"/>
      <c r="J69" s="183">
        <f>D69</f>
        <v>1000</v>
      </c>
      <c r="K69" s="8"/>
      <c r="L69" s="8"/>
      <c r="M69" s="8"/>
      <c r="N69" s="185"/>
    </row>
    <row r="70" spans="1:14" ht="18">
      <c r="A70" s="83" t="s">
        <v>44</v>
      </c>
      <c r="B70" s="84" t="s">
        <v>45</v>
      </c>
      <c r="C70" s="94">
        <v>160</v>
      </c>
      <c r="D70" s="85">
        <v>160</v>
      </c>
      <c r="E70" s="93">
        <f t="shared" si="1"/>
        <v>0</v>
      </c>
      <c r="F70" s="12">
        <f t="shared" si="2"/>
        <v>100</v>
      </c>
      <c r="G70" s="86"/>
      <c r="H70" s="189">
        <f t="shared" si="0"/>
        <v>160</v>
      </c>
      <c r="I70" s="8"/>
      <c r="J70" s="183">
        <f>D70</f>
        <v>160</v>
      </c>
      <c r="K70" s="8"/>
      <c r="L70" s="8"/>
      <c r="M70" s="8"/>
      <c r="N70" s="185"/>
    </row>
    <row r="71" spans="1:14" ht="18">
      <c r="A71" s="83" t="s">
        <v>16</v>
      </c>
      <c r="B71" s="84" t="s">
        <v>52</v>
      </c>
      <c r="C71" s="94">
        <v>127000</v>
      </c>
      <c r="D71" s="85">
        <v>107000</v>
      </c>
      <c r="E71" s="93">
        <f t="shared" si="1"/>
        <v>-20000</v>
      </c>
      <c r="F71" s="12">
        <f t="shared" si="2"/>
        <v>84.25196850393701</v>
      </c>
      <c r="G71" s="86"/>
      <c r="H71" s="189">
        <f aca="true" t="shared" si="3" ref="H71:H134">SUM(I71:M71)</f>
        <v>107000</v>
      </c>
      <c r="I71" s="8"/>
      <c r="J71" s="183">
        <f>D71</f>
        <v>107000</v>
      </c>
      <c r="K71" s="8"/>
      <c r="L71" s="8"/>
      <c r="M71" s="8"/>
      <c r="N71" s="185"/>
    </row>
    <row r="72" spans="1:14" ht="18">
      <c r="A72" s="83" t="s">
        <v>240</v>
      </c>
      <c r="B72" s="84" t="s">
        <v>241</v>
      </c>
      <c r="C72" s="94">
        <v>4000</v>
      </c>
      <c r="D72" s="85">
        <v>4000</v>
      </c>
      <c r="E72" s="93">
        <f aca="true" t="shared" si="4" ref="E72:E135">D72-C72</f>
        <v>0</v>
      </c>
      <c r="F72" s="12">
        <f t="shared" si="2"/>
        <v>100</v>
      </c>
      <c r="G72" s="86"/>
      <c r="H72" s="189">
        <f t="shared" si="3"/>
        <v>4000</v>
      </c>
      <c r="I72" s="8"/>
      <c r="J72" s="183">
        <f>D72</f>
        <v>4000</v>
      </c>
      <c r="K72" s="8"/>
      <c r="L72" s="8"/>
      <c r="M72" s="8"/>
      <c r="N72" s="185"/>
    </row>
    <row r="73" spans="1:14" ht="18">
      <c r="A73" s="83"/>
      <c r="B73" s="84" t="s">
        <v>242</v>
      </c>
      <c r="C73" s="94"/>
      <c r="D73" s="85"/>
      <c r="E73" s="93"/>
      <c r="F73" s="12"/>
      <c r="G73" s="86"/>
      <c r="H73" s="189">
        <f t="shared" si="3"/>
        <v>0</v>
      </c>
      <c r="I73" s="8"/>
      <c r="J73" s="8"/>
      <c r="K73" s="8"/>
      <c r="L73" s="8"/>
      <c r="M73" s="8"/>
      <c r="N73" s="185"/>
    </row>
    <row r="74" spans="1:14" ht="18">
      <c r="A74" s="99" t="s">
        <v>53</v>
      </c>
      <c r="B74" s="100" t="s">
        <v>54</v>
      </c>
      <c r="C74" s="102">
        <v>3000</v>
      </c>
      <c r="D74" s="101">
        <v>3000</v>
      </c>
      <c r="E74" s="93">
        <f t="shared" si="4"/>
        <v>0</v>
      </c>
      <c r="F74" s="12">
        <f t="shared" si="2"/>
        <v>100</v>
      </c>
      <c r="G74" s="86"/>
      <c r="H74" s="189">
        <f t="shared" si="3"/>
        <v>3000</v>
      </c>
      <c r="I74" s="8"/>
      <c r="J74" s="183">
        <f>D74</f>
        <v>3000</v>
      </c>
      <c r="K74" s="8"/>
      <c r="L74" s="8"/>
      <c r="M74" s="8"/>
      <c r="N74" s="185"/>
    </row>
    <row r="75" spans="1:14" ht="18">
      <c r="A75" s="170" t="s">
        <v>344</v>
      </c>
      <c r="B75" s="171" t="s">
        <v>345</v>
      </c>
      <c r="C75" s="192">
        <f>C77</f>
        <v>0</v>
      </c>
      <c r="D75" s="172">
        <f>D77</f>
        <v>0</v>
      </c>
      <c r="E75" s="145">
        <f>D75-C75</f>
        <v>0</v>
      </c>
      <c r="F75" s="146" t="e">
        <f>D75*100/C75</f>
        <v>#DIV/0!</v>
      </c>
      <c r="G75" s="86" t="s">
        <v>347</v>
      </c>
      <c r="H75" s="189">
        <f t="shared" si="3"/>
        <v>0</v>
      </c>
      <c r="I75" s="8"/>
      <c r="J75" s="8"/>
      <c r="K75" s="8"/>
      <c r="L75" s="8"/>
      <c r="M75" s="8"/>
      <c r="N75" s="185"/>
    </row>
    <row r="76" spans="1:14" ht="18">
      <c r="A76" s="139"/>
      <c r="B76" s="140"/>
      <c r="C76" s="142"/>
      <c r="D76" s="141"/>
      <c r="E76" s="145"/>
      <c r="F76" s="146"/>
      <c r="G76" s="86" t="s">
        <v>363</v>
      </c>
      <c r="H76" s="189">
        <f t="shared" si="3"/>
        <v>0</v>
      </c>
      <c r="I76" s="8"/>
      <c r="J76" s="8"/>
      <c r="K76" s="8"/>
      <c r="L76" s="8"/>
      <c r="M76" s="8"/>
      <c r="N76" s="185"/>
    </row>
    <row r="77" spans="1:14" ht="18">
      <c r="A77" s="147" t="s">
        <v>346</v>
      </c>
      <c r="B77" s="148" t="s">
        <v>15</v>
      </c>
      <c r="C77" s="150">
        <f>SUM(C78:C78)</f>
        <v>0</v>
      </c>
      <c r="D77" s="149">
        <f>SUM(D78:D78)</f>
        <v>0</v>
      </c>
      <c r="E77" s="145">
        <f>D77-C77</f>
        <v>0</v>
      </c>
      <c r="F77" s="146" t="e">
        <f>D77*100/C77</f>
        <v>#DIV/0!</v>
      </c>
      <c r="G77" s="86"/>
      <c r="H77" s="189">
        <f t="shared" si="3"/>
        <v>0</v>
      </c>
      <c r="I77" s="8"/>
      <c r="J77" s="8"/>
      <c r="K77" s="8"/>
      <c r="L77" s="8"/>
      <c r="M77" s="8"/>
      <c r="N77" s="185"/>
    </row>
    <row r="78" spans="1:14" ht="18">
      <c r="A78" s="139" t="s">
        <v>203</v>
      </c>
      <c r="B78" s="140" t="s">
        <v>98</v>
      </c>
      <c r="C78" s="142">
        <v>0</v>
      </c>
      <c r="D78" s="141">
        <v>0</v>
      </c>
      <c r="E78" s="145">
        <f>D78-C78</f>
        <v>0</v>
      </c>
      <c r="F78" s="146" t="e">
        <f>D78*100/C78</f>
        <v>#DIV/0!</v>
      </c>
      <c r="G78" s="86"/>
      <c r="H78" s="189">
        <f t="shared" si="3"/>
        <v>0</v>
      </c>
      <c r="I78" s="183"/>
      <c r="J78" s="183"/>
      <c r="K78" s="183"/>
      <c r="L78" s="183"/>
      <c r="M78" s="183"/>
      <c r="N78" s="186">
        <f>D78</f>
        <v>0</v>
      </c>
    </row>
    <row r="79" spans="1:14" ht="18">
      <c r="A79" s="173"/>
      <c r="B79" s="174"/>
      <c r="C79" s="175"/>
      <c r="D79" s="197"/>
      <c r="E79" s="176"/>
      <c r="F79" s="177"/>
      <c r="G79" s="86"/>
      <c r="H79" s="189">
        <f t="shared" si="3"/>
        <v>0</v>
      </c>
      <c r="I79" s="8"/>
      <c r="J79" s="8"/>
      <c r="K79" s="8"/>
      <c r="L79" s="8"/>
      <c r="M79" s="8"/>
      <c r="N79" s="185"/>
    </row>
    <row r="80" spans="1:14" ht="18">
      <c r="A80" s="89" t="s">
        <v>55</v>
      </c>
      <c r="B80" s="90" t="s">
        <v>56</v>
      </c>
      <c r="C80" s="92">
        <f>SUM(C82+C88+C96+C139+C132)</f>
        <v>1876080</v>
      </c>
      <c r="D80" s="91">
        <f>SUM(D82+D88+D96+D139+D132)</f>
        <v>1904918</v>
      </c>
      <c r="E80" s="93">
        <f t="shared" si="4"/>
        <v>28838</v>
      </c>
      <c r="F80" s="12">
        <f t="shared" si="2"/>
        <v>101.53714127329324</v>
      </c>
      <c r="G80" s="86"/>
      <c r="H80" s="189">
        <f t="shared" si="3"/>
        <v>0</v>
      </c>
      <c r="I80" s="8"/>
      <c r="J80" s="8"/>
      <c r="K80" s="8"/>
      <c r="L80" s="8"/>
      <c r="M80" s="8"/>
      <c r="N80" s="185"/>
    </row>
    <row r="81" spans="1:14" ht="18">
      <c r="A81" s="83"/>
      <c r="B81" s="84"/>
      <c r="C81" s="94"/>
      <c r="D81" s="85"/>
      <c r="E81" s="93"/>
      <c r="F81" s="12"/>
      <c r="G81" s="86"/>
      <c r="H81" s="189">
        <f t="shared" si="3"/>
        <v>0</v>
      </c>
      <c r="I81" s="8"/>
      <c r="J81" s="8"/>
      <c r="K81" s="8"/>
      <c r="L81" s="8"/>
      <c r="M81" s="8"/>
      <c r="N81" s="185"/>
    </row>
    <row r="82" spans="1:14" ht="18">
      <c r="A82" s="126" t="s">
        <v>57</v>
      </c>
      <c r="B82" s="127" t="s">
        <v>58</v>
      </c>
      <c r="C82" s="129">
        <f>SUM(C83:C86)</f>
        <v>143230</v>
      </c>
      <c r="D82" s="128">
        <f>SUM(D83:D86)</f>
        <v>148042</v>
      </c>
      <c r="E82" s="117">
        <f t="shared" si="4"/>
        <v>4812</v>
      </c>
      <c r="F82" s="118">
        <f t="shared" si="2"/>
        <v>103.3596313621448</v>
      </c>
      <c r="G82" s="86" t="s">
        <v>335</v>
      </c>
      <c r="H82" s="189">
        <f t="shared" si="3"/>
        <v>0</v>
      </c>
      <c r="I82" s="8"/>
      <c r="J82" s="8"/>
      <c r="K82" s="8"/>
      <c r="L82" s="8"/>
      <c r="M82" s="8"/>
      <c r="N82" s="185"/>
    </row>
    <row r="83" spans="1:14" ht="18">
      <c r="A83" s="122" t="s">
        <v>22</v>
      </c>
      <c r="B83" s="123" t="s">
        <v>23</v>
      </c>
      <c r="C83" s="125">
        <v>113550</v>
      </c>
      <c r="D83" s="124">
        <f>54780+62624</f>
        <v>117404</v>
      </c>
      <c r="E83" s="117">
        <f t="shared" si="4"/>
        <v>3854</v>
      </c>
      <c r="F83" s="118">
        <f aca="true" t="shared" si="5" ref="F83:F144">D83*100/C83</f>
        <v>103.39409951563188</v>
      </c>
      <c r="G83" s="86" t="s">
        <v>336</v>
      </c>
      <c r="H83" s="189">
        <f t="shared" si="3"/>
        <v>117404</v>
      </c>
      <c r="I83" s="191">
        <f>D83</f>
        <v>117404</v>
      </c>
      <c r="J83" s="8"/>
      <c r="K83" s="8"/>
      <c r="L83" s="8"/>
      <c r="M83" s="8"/>
      <c r="N83" s="185"/>
    </row>
    <row r="84" spans="1:14" ht="18">
      <c r="A84" s="122" t="s">
        <v>24</v>
      </c>
      <c r="B84" s="123" t="s">
        <v>25</v>
      </c>
      <c r="C84" s="125">
        <v>8560</v>
      </c>
      <c r="D84" s="124">
        <v>8438</v>
      </c>
      <c r="E84" s="117">
        <f t="shared" si="4"/>
        <v>-122</v>
      </c>
      <c r="F84" s="118">
        <f t="shared" si="5"/>
        <v>98.57476635514018</v>
      </c>
      <c r="G84" s="86" t="s">
        <v>338</v>
      </c>
      <c r="H84" s="189">
        <f t="shared" si="3"/>
        <v>8438</v>
      </c>
      <c r="I84" s="191">
        <f>D84</f>
        <v>8438</v>
      </c>
      <c r="J84" s="8"/>
      <c r="K84" s="8"/>
      <c r="L84" s="8"/>
      <c r="M84" s="8"/>
      <c r="N84" s="185"/>
    </row>
    <row r="85" spans="1:14" ht="18">
      <c r="A85" s="122" t="s">
        <v>26</v>
      </c>
      <c r="B85" s="123" t="s">
        <v>27</v>
      </c>
      <c r="C85" s="125">
        <v>18170</v>
      </c>
      <c r="D85" s="124">
        <f>8322+10794</f>
        <v>19116</v>
      </c>
      <c r="E85" s="117">
        <f t="shared" si="4"/>
        <v>946</v>
      </c>
      <c r="F85" s="118">
        <f t="shared" si="5"/>
        <v>105.2063841496973</v>
      </c>
      <c r="G85" s="86" t="s">
        <v>339</v>
      </c>
      <c r="H85" s="189">
        <f t="shared" si="3"/>
        <v>19116</v>
      </c>
      <c r="I85" s="191">
        <f>D85</f>
        <v>19116</v>
      </c>
      <c r="J85" s="8"/>
      <c r="K85" s="8"/>
      <c r="L85" s="8"/>
      <c r="M85" s="8"/>
      <c r="N85" s="185"/>
    </row>
    <row r="86" spans="1:14" ht="18">
      <c r="A86" s="122" t="s">
        <v>28</v>
      </c>
      <c r="B86" s="123" t="s">
        <v>29</v>
      </c>
      <c r="C86" s="125">
        <v>2950</v>
      </c>
      <c r="D86" s="124">
        <f>1342+1742</f>
        <v>3084</v>
      </c>
      <c r="E86" s="117">
        <f t="shared" si="4"/>
        <v>134</v>
      </c>
      <c r="F86" s="118">
        <f t="shared" si="5"/>
        <v>104.54237288135593</v>
      </c>
      <c r="G86" s="86" t="s">
        <v>337</v>
      </c>
      <c r="H86" s="189">
        <f t="shared" si="3"/>
        <v>3084</v>
      </c>
      <c r="I86" s="191">
        <f>D86</f>
        <v>3084</v>
      </c>
      <c r="J86" s="8"/>
      <c r="K86" s="8"/>
      <c r="L86" s="8"/>
      <c r="M86" s="8"/>
      <c r="N86" s="185"/>
    </row>
    <row r="87" spans="1:14" ht="18">
      <c r="A87" s="122"/>
      <c r="B87" s="123"/>
      <c r="C87" s="125"/>
      <c r="D87" s="124"/>
      <c r="E87" s="117"/>
      <c r="F87" s="118"/>
      <c r="G87" s="86"/>
      <c r="H87" s="189">
        <f t="shared" si="3"/>
        <v>0</v>
      </c>
      <c r="I87" s="8"/>
      <c r="J87" s="8"/>
      <c r="K87" s="8"/>
      <c r="L87" s="8"/>
      <c r="M87" s="8"/>
      <c r="N87" s="185"/>
    </row>
    <row r="88" spans="1:14" ht="18">
      <c r="A88" s="126" t="s">
        <v>60</v>
      </c>
      <c r="B88" s="127" t="s">
        <v>61</v>
      </c>
      <c r="C88" s="129">
        <f>SUM(C89:C94)</f>
        <v>36830</v>
      </c>
      <c r="D88" s="128">
        <f>SUM(D89:D94)</f>
        <v>37930</v>
      </c>
      <c r="E88" s="117">
        <f t="shared" si="4"/>
        <v>1100</v>
      </c>
      <c r="F88" s="118">
        <f t="shared" si="5"/>
        <v>102.98669562856367</v>
      </c>
      <c r="G88" s="86"/>
      <c r="H88" s="189">
        <f t="shared" si="3"/>
        <v>0</v>
      </c>
      <c r="I88" s="8"/>
      <c r="J88" s="8"/>
      <c r="K88" s="8"/>
      <c r="L88" s="8"/>
      <c r="M88" s="8"/>
      <c r="N88" s="185"/>
    </row>
    <row r="89" spans="1:14" ht="18">
      <c r="A89" s="122" t="s">
        <v>62</v>
      </c>
      <c r="B89" s="123" t="s">
        <v>63</v>
      </c>
      <c r="C89" s="125">
        <v>34000</v>
      </c>
      <c r="D89" s="124">
        <v>35100</v>
      </c>
      <c r="E89" s="117">
        <f t="shared" si="4"/>
        <v>1100</v>
      </c>
      <c r="F89" s="118">
        <f t="shared" si="5"/>
        <v>103.23529411764706</v>
      </c>
      <c r="G89" s="86"/>
      <c r="H89" s="189">
        <f t="shared" si="3"/>
        <v>35100</v>
      </c>
      <c r="I89" s="8"/>
      <c r="J89" s="8"/>
      <c r="K89" s="8"/>
      <c r="L89" s="183">
        <f>D89</f>
        <v>35100</v>
      </c>
      <c r="M89" s="8"/>
      <c r="N89" s="185"/>
    </row>
    <row r="90" spans="1:14" ht="18">
      <c r="A90" s="122" t="s">
        <v>34</v>
      </c>
      <c r="B90" s="123" t="s">
        <v>35</v>
      </c>
      <c r="C90" s="125">
        <v>1500</v>
      </c>
      <c r="D90" s="124">
        <v>1500</v>
      </c>
      <c r="E90" s="117">
        <f t="shared" si="4"/>
        <v>0</v>
      </c>
      <c r="F90" s="118">
        <f t="shared" si="5"/>
        <v>100</v>
      </c>
      <c r="G90" s="86"/>
      <c r="H90" s="189">
        <f t="shared" si="3"/>
        <v>1500</v>
      </c>
      <c r="I90" s="8"/>
      <c r="J90" s="183">
        <f>D90</f>
        <v>1500</v>
      </c>
      <c r="K90" s="8"/>
      <c r="L90" s="8"/>
      <c r="M90" s="8"/>
      <c r="N90" s="185"/>
    </row>
    <row r="91" spans="1:14" ht="18">
      <c r="A91" s="122" t="s">
        <v>16</v>
      </c>
      <c r="B91" s="123" t="s">
        <v>17</v>
      </c>
      <c r="C91" s="125">
        <v>680</v>
      </c>
      <c r="D91" s="124">
        <v>680</v>
      </c>
      <c r="E91" s="117">
        <f t="shared" si="4"/>
        <v>0</v>
      </c>
      <c r="F91" s="118">
        <f t="shared" si="5"/>
        <v>100</v>
      </c>
      <c r="G91" s="86"/>
      <c r="H91" s="189">
        <f t="shared" si="3"/>
        <v>680</v>
      </c>
      <c r="I91" s="8"/>
      <c r="J91" s="183">
        <f>D91</f>
        <v>680</v>
      </c>
      <c r="K91" s="8"/>
      <c r="L91" s="8"/>
      <c r="M91" s="8"/>
      <c r="N91" s="185"/>
    </row>
    <row r="92" spans="1:14" ht="18">
      <c r="A92" s="122" t="s">
        <v>36</v>
      </c>
      <c r="B92" s="123" t="s">
        <v>37</v>
      </c>
      <c r="C92" s="125">
        <v>300</v>
      </c>
      <c r="D92" s="124">
        <v>300</v>
      </c>
      <c r="E92" s="117">
        <f t="shared" si="4"/>
        <v>0</v>
      </c>
      <c r="F92" s="118">
        <f t="shared" si="5"/>
        <v>100</v>
      </c>
      <c r="G92" s="86"/>
      <c r="H92" s="189">
        <f t="shared" si="3"/>
        <v>300</v>
      </c>
      <c r="I92" s="8"/>
      <c r="J92" s="183">
        <f>D92</f>
        <v>300</v>
      </c>
      <c r="K92" s="8"/>
      <c r="L92" s="8"/>
      <c r="M92" s="8"/>
      <c r="N92" s="185"/>
    </row>
    <row r="93" spans="1:14" ht="18">
      <c r="A93" s="122" t="s">
        <v>223</v>
      </c>
      <c r="B93" s="123" t="s">
        <v>224</v>
      </c>
      <c r="C93" s="125">
        <v>350</v>
      </c>
      <c r="D93" s="124">
        <v>350</v>
      </c>
      <c r="E93" s="117">
        <f t="shared" si="4"/>
        <v>0</v>
      </c>
      <c r="F93" s="118">
        <f t="shared" si="5"/>
        <v>100</v>
      </c>
      <c r="G93" s="86"/>
      <c r="H93" s="189">
        <f t="shared" si="3"/>
        <v>350</v>
      </c>
      <c r="I93" s="8"/>
      <c r="J93" s="183">
        <f>D93</f>
        <v>350</v>
      </c>
      <c r="K93" s="8"/>
      <c r="L93" s="8"/>
      <c r="M93" s="8"/>
      <c r="N93" s="185"/>
    </row>
    <row r="94" spans="1:14" ht="18">
      <c r="A94" s="122"/>
      <c r="B94" s="123" t="s">
        <v>225</v>
      </c>
      <c r="C94" s="125"/>
      <c r="D94" s="124"/>
      <c r="E94" s="117"/>
      <c r="F94" s="118"/>
      <c r="G94" s="86"/>
      <c r="H94" s="189">
        <f t="shared" si="3"/>
        <v>0</v>
      </c>
      <c r="I94" s="8"/>
      <c r="J94" s="8"/>
      <c r="K94" s="8"/>
      <c r="L94" s="8"/>
      <c r="M94" s="8"/>
      <c r="N94" s="185"/>
    </row>
    <row r="95" spans="1:14" ht="18">
      <c r="A95" s="122"/>
      <c r="B95" s="123"/>
      <c r="C95" s="125"/>
      <c r="D95" s="124"/>
      <c r="E95" s="117"/>
      <c r="F95" s="118"/>
      <c r="G95" s="86"/>
      <c r="H95" s="189">
        <f t="shared" si="3"/>
        <v>0</v>
      </c>
      <c r="I95" s="8"/>
      <c r="J95" s="8"/>
      <c r="K95" s="8"/>
      <c r="L95" s="8"/>
      <c r="M95" s="8"/>
      <c r="N95" s="185"/>
    </row>
    <row r="96" spans="1:14" ht="18">
      <c r="A96" s="126" t="s">
        <v>64</v>
      </c>
      <c r="B96" s="127" t="s">
        <v>65</v>
      </c>
      <c r="C96" s="129">
        <f>SUM(C97:C129)</f>
        <v>1614220</v>
      </c>
      <c r="D96" s="128">
        <f>SUM(D97:D129)</f>
        <v>1676146</v>
      </c>
      <c r="E96" s="117">
        <f t="shared" si="4"/>
        <v>61926</v>
      </c>
      <c r="F96" s="118">
        <f t="shared" si="5"/>
        <v>103.83628006095823</v>
      </c>
      <c r="G96" s="86"/>
      <c r="H96" s="189">
        <f t="shared" si="3"/>
        <v>0</v>
      </c>
      <c r="I96" s="8"/>
      <c r="J96" s="8"/>
      <c r="K96" s="8"/>
      <c r="L96" s="8"/>
      <c r="M96" s="8"/>
      <c r="N96" s="185"/>
    </row>
    <row r="97" spans="1:14" ht="18">
      <c r="A97" s="155" t="s">
        <v>231</v>
      </c>
      <c r="B97" s="156" t="s">
        <v>232</v>
      </c>
      <c r="C97" s="180">
        <v>1500</v>
      </c>
      <c r="D97" s="157">
        <v>1500</v>
      </c>
      <c r="E97" s="117">
        <f t="shared" si="4"/>
        <v>0</v>
      </c>
      <c r="F97" s="118">
        <f t="shared" si="5"/>
        <v>100</v>
      </c>
      <c r="G97" s="86"/>
      <c r="H97" s="189">
        <f t="shared" si="3"/>
        <v>1500</v>
      </c>
      <c r="I97" s="8"/>
      <c r="J97" s="8"/>
      <c r="K97" s="8"/>
      <c r="L97" s="183">
        <f>D97</f>
        <v>1500</v>
      </c>
      <c r="M97" s="8"/>
      <c r="N97" s="185"/>
    </row>
    <row r="98" spans="1:14" ht="18">
      <c r="A98" s="122" t="s">
        <v>22</v>
      </c>
      <c r="B98" s="123" t="s">
        <v>66</v>
      </c>
      <c r="C98" s="125">
        <v>933740</v>
      </c>
      <c r="D98" s="124">
        <f>866845+40000</f>
        <v>906845</v>
      </c>
      <c r="E98" s="117">
        <f t="shared" si="4"/>
        <v>-26895</v>
      </c>
      <c r="F98" s="118">
        <f t="shared" si="5"/>
        <v>97.11964786771478</v>
      </c>
      <c r="G98" s="86"/>
      <c r="H98" s="189">
        <f t="shared" si="3"/>
        <v>906845</v>
      </c>
      <c r="I98" s="191">
        <f>D98</f>
        <v>906845</v>
      </c>
      <c r="J98" s="8"/>
      <c r="K98" s="8"/>
      <c r="L98" s="8"/>
      <c r="M98" s="8"/>
      <c r="N98" s="185"/>
    </row>
    <row r="99" spans="1:14" ht="18">
      <c r="A99" s="122" t="s">
        <v>24</v>
      </c>
      <c r="B99" s="123" t="s">
        <v>67</v>
      </c>
      <c r="C99" s="125">
        <v>63650</v>
      </c>
      <c r="D99" s="124">
        <v>65386</v>
      </c>
      <c r="E99" s="117">
        <f t="shared" si="4"/>
        <v>1736</v>
      </c>
      <c r="F99" s="118">
        <f t="shared" si="5"/>
        <v>102.72741555380989</v>
      </c>
      <c r="G99" s="86"/>
      <c r="H99" s="189">
        <f t="shared" si="3"/>
        <v>65386</v>
      </c>
      <c r="I99" s="191">
        <f>D99</f>
        <v>65386</v>
      </c>
      <c r="J99" s="8"/>
      <c r="K99" s="8"/>
      <c r="L99" s="8"/>
      <c r="M99" s="8"/>
      <c r="N99" s="185"/>
    </row>
    <row r="100" spans="1:14" ht="18">
      <c r="A100" s="122" t="s">
        <v>26</v>
      </c>
      <c r="B100" s="123" t="s">
        <v>27</v>
      </c>
      <c r="C100" s="125">
        <v>151630</v>
      </c>
      <c r="D100" s="124">
        <f>169491+6076</f>
        <v>175567</v>
      </c>
      <c r="E100" s="117">
        <f t="shared" si="4"/>
        <v>23937</v>
      </c>
      <c r="F100" s="118">
        <f t="shared" si="5"/>
        <v>115.78645386796808</v>
      </c>
      <c r="G100" s="86"/>
      <c r="H100" s="189">
        <f t="shared" si="3"/>
        <v>175567</v>
      </c>
      <c r="I100" s="191">
        <f>D100</f>
        <v>175567</v>
      </c>
      <c r="J100" s="8"/>
      <c r="K100" s="8"/>
      <c r="L100" s="8"/>
      <c r="M100" s="8"/>
      <c r="N100" s="185"/>
    </row>
    <row r="101" spans="1:14" ht="18">
      <c r="A101" s="122" t="s">
        <v>28</v>
      </c>
      <c r="B101" s="123" t="s">
        <v>29</v>
      </c>
      <c r="C101" s="125">
        <v>24500</v>
      </c>
      <c r="D101" s="124">
        <f>27338+980</f>
        <v>28318</v>
      </c>
      <c r="E101" s="117">
        <f t="shared" si="4"/>
        <v>3818</v>
      </c>
      <c r="F101" s="118">
        <f t="shared" si="5"/>
        <v>115.58367346938776</v>
      </c>
      <c r="G101" s="86"/>
      <c r="H101" s="189">
        <f t="shared" si="3"/>
        <v>28318</v>
      </c>
      <c r="I101" s="191">
        <f>D101</f>
        <v>28318</v>
      </c>
      <c r="J101" s="8"/>
      <c r="K101" s="8"/>
      <c r="L101" s="8"/>
      <c r="M101" s="8"/>
      <c r="N101" s="185"/>
    </row>
    <row r="102" spans="1:14" ht="18">
      <c r="A102" s="122" t="s">
        <v>30</v>
      </c>
      <c r="B102" s="123" t="s">
        <v>59</v>
      </c>
      <c r="C102" s="125">
        <v>38000</v>
      </c>
      <c r="D102" s="124">
        <v>30000</v>
      </c>
      <c r="E102" s="117">
        <f t="shared" si="4"/>
        <v>-8000</v>
      </c>
      <c r="F102" s="118">
        <f t="shared" si="5"/>
        <v>78.94736842105263</v>
      </c>
      <c r="G102" s="86"/>
      <c r="H102" s="189">
        <f t="shared" si="3"/>
        <v>30000</v>
      </c>
      <c r="I102" s="8"/>
      <c r="J102" s="183">
        <f>D102</f>
        <v>30000</v>
      </c>
      <c r="K102" s="8"/>
      <c r="L102" s="8"/>
      <c r="M102" s="8"/>
      <c r="N102" s="185"/>
    </row>
    <row r="103" spans="1:14" ht="18">
      <c r="A103" s="122" t="s">
        <v>32</v>
      </c>
      <c r="B103" s="123" t="s">
        <v>33</v>
      </c>
      <c r="C103" s="125">
        <v>72000</v>
      </c>
      <c r="D103" s="124">
        <v>106230</v>
      </c>
      <c r="E103" s="117">
        <f t="shared" si="4"/>
        <v>34230</v>
      </c>
      <c r="F103" s="118">
        <f t="shared" si="5"/>
        <v>147.54166666666666</v>
      </c>
      <c r="G103" s="86"/>
      <c r="H103" s="189">
        <f t="shared" si="3"/>
        <v>106230</v>
      </c>
      <c r="I103" s="191">
        <f>D103</f>
        <v>106230</v>
      </c>
      <c r="J103" s="8"/>
      <c r="K103" s="8"/>
      <c r="L103" s="8"/>
      <c r="M103" s="8"/>
      <c r="N103" s="185"/>
    </row>
    <row r="104" spans="1:14" ht="18">
      <c r="A104" s="122" t="s">
        <v>34</v>
      </c>
      <c r="B104" s="123" t="s">
        <v>35</v>
      </c>
      <c r="C104" s="125">
        <f>55000+5000</f>
        <v>60000</v>
      </c>
      <c r="D104" s="124">
        <v>60000</v>
      </c>
      <c r="E104" s="117">
        <f t="shared" si="4"/>
        <v>0</v>
      </c>
      <c r="F104" s="118">
        <f t="shared" si="5"/>
        <v>100</v>
      </c>
      <c r="G104" s="86"/>
      <c r="H104" s="189">
        <f t="shared" si="3"/>
        <v>60000</v>
      </c>
      <c r="I104" s="8"/>
      <c r="J104" s="183">
        <f aca="true" t="shared" si="6" ref="J104:J110">D104</f>
        <v>60000</v>
      </c>
      <c r="K104" s="8"/>
      <c r="L104" s="8"/>
      <c r="M104" s="8"/>
      <c r="N104" s="185"/>
    </row>
    <row r="105" spans="1:14" ht="18">
      <c r="A105" s="122" t="s">
        <v>68</v>
      </c>
      <c r="B105" s="123" t="s">
        <v>69</v>
      </c>
      <c r="C105" s="125">
        <v>25000</v>
      </c>
      <c r="D105" s="124">
        <v>62000</v>
      </c>
      <c r="E105" s="117">
        <f t="shared" si="4"/>
        <v>37000</v>
      </c>
      <c r="F105" s="118">
        <f t="shared" si="5"/>
        <v>248</v>
      </c>
      <c r="G105" s="86"/>
      <c r="H105" s="189">
        <f t="shared" si="3"/>
        <v>62000</v>
      </c>
      <c r="I105" s="8"/>
      <c r="J105" s="183">
        <f t="shared" si="6"/>
        <v>62000</v>
      </c>
      <c r="K105" s="8"/>
      <c r="L105" s="8"/>
      <c r="M105" s="8"/>
      <c r="N105" s="185"/>
    </row>
    <row r="106" spans="1:14" ht="18">
      <c r="A106" s="122" t="s">
        <v>44</v>
      </c>
      <c r="B106" s="123" t="s">
        <v>45</v>
      </c>
      <c r="C106" s="125">
        <v>100</v>
      </c>
      <c r="D106" s="124">
        <v>100</v>
      </c>
      <c r="E106" s="117">
        <f t="shared" si="4"/>
        <v>0</v>
      </c>
      <c r="F106" s="118">
        <f t="shared" si="5"/>
        <v>100</v>
      </c>
      <c r="G106" s="86" t="s">
        <v>309</v>
      </c>
      <c r="H106" s="189">
        <f t="shared" si="3"/>
        <v>100</v>
      </c>
      <c r="I106" s="8"/>
      <c r="J106" s="183">
        <f t="shared" si="6"/>
        <v>100</v>
      </c>
      <c r="K106" s="8"/>
      <c r="L106" s="8"/>
      <c r="M106" s="8"/>
      <c r="N106" s="185"/>
    </row>
    <row r="107" spans="1:14" ht="18">
      <c r="A107" s="122" t="s">
        <v>70</v>
      </c>
      <c r="B107" s="123" t="s">
        <v>71</v>
      </c>
      <c r="C107" s="125">
        <v>3000</v>
      </c>
      <c r="D107" s="124">
        <v>3100</v>
      </c>
      <c r="E107" s="117">
        <f t="shared" si="4"/>
        <v>100</v>
      </c>
      <c r="F107" s="118">
        <f t="shared" si="5"/>
        <v>103.33333333333333</v>
      </c>
      <c r="G107" s="86"/>
      <c r="H107" s="189">
        <f t="shared" si="3"/>
        <v>3100</v>
      </c>
      <c r="I107" s="8"/>
      <c r="J107" s="183">
        <f t="shared" si="6"/>
        <v>3100</v>
      </c>
      <c r="K107" s="8"/>
      <c r="L107" s="8"/>
      <c r="M107" s="8"/>
      <c r="N107" s="185"/>
    </row>
    <row r="108" spans="1:14" ht="18">
      <c r="A108" s="122" t="s">
        <v>16</v>
      </c>
      <c r="B108" s="123" t="s">
        <v>17</v>
      </c>
      <c r="C108" s="125">
        <v>90000</v>
      </c>
      <c r="D108" s="124">
        <v>90000</v>
      </c>
      <c r="E108" s="117">
        <f t="shared" si="4"/>
        <v>0</v>
      </c>
      <c r="F108" s="118">
        <f t="shared" si="5"/>
        <v>100</v>
      </c>
      <c r="G108" s="86" t="s">
        <v>292</v>
      </c>
      <c r="H108" s="189">
        <f t="shared" si="3"/>
        <v>90000</v>
      </c>
      <c r="I108" s="8"/>
      <c r="J108" s="183">
        <f t="shared" si="6"/>
        <v>90000</v>
      </c>
      <c r="K108" s="8"/>
      <c r="L108" s="8"/>
      <c r="M108" s="8"/>
      <c r="N108" s="185"/>
    </row>
    <row r="109" spans="1:14" ht="18">
      <c r="A109" s="122" t="s">
        <v>177</v>
      </c>
      <c r="B109" s="123" t="s">
        <v>178</v>
      </c>
      <c r="C109" s="125">
        <v>5000</v>
      </c>
      <c r="D109" s="124">
        <v>5000</v>
      </c>
      <c r="E109" s="117">
        <f t="shared" si="4"/>
        <v>0</v>
      </c>
      <c r="F109" s="118">
        <f t="shared" si="5"/>
        <v>100</v>
      </c>
      <c r="G109" s="86"/>
      <c r="H109" s="189">
        <f t="shared" si="3"/>
        <v>5000</v>
      </c>
      <c r="I109" s="8"/>
      <c r="J109" s="183">
        <f t="shared" si="6"/>
        <v>5000</v>
      </c>
      <c r="K109" s="8"/>
      <c r="L109" s="8"/>
      <c r="M109" s="8"/>
      <c r="N109" s="185"/>
    </row>
    <row r="110" spans="1:14" ht="18">
      <c r="A110" s="122" t="s">
        <v>211</v>
      </c>
      <c r="B110" s="123" t="s">
        <v>212</v>
      </c>
      <c r="C110" s="125">
        <v>4500</v>
      </c>
      <c r="D110" s="124">
        <v>4500</v>
      </c>
      <c r="E110" s="117">
        <f t="shared" si="4"/>
        <v>0</v>
      </c>
      <c r="F110" s="118">
        <f t="shared" si="5"/>
        <v>100</v>
      </c>
      <c r="G110" s="86"/>
      <c r="H110" s="189">
        <f t="shared" si="3"/>
        <v>4500</v>
      </c>
      <c r="I110" s="8"/>
      <c r="J110" s="183">
        <f t="shared" si="6"/>
        <v>4500</v>
      </c>
      <c r="K110" s="8"/>
      <c r="L110" s="8"/>
      <c r="M110" s="8"/>
      <c r="N110" s="185"/>
    </row>
    <row r="111" spans="1:14" ht="18">
      <c r="A111" s="122"/>
      <c r="B111" s="123" t="s">
        <v>213</v>
      </c>
      <c r="C111" s="125"/>
      <c r="D111" s="124"/>
      <c r="E111" s="117"/>
      <c r="F111" s="118"/>
      <c r="G111" s="86"/>
      <c r="H111" s="189">
        <f t="shared" si="3"/>
        <v>0</v>
      </c>
      <c r="I111" s="8"/>
      <c r="J111" s="8"/>
      <c r="K111" s="8"/>
      <c r="L111" s="8"/>
      <c r="M111" s="8"/>
      <c r="N111" s="185"/>
    </row>
    <row r="112" spans="1:14" ht="18">
      <c r="A112" s="122" t="s">
        <v>214</v>
      </c>
      <c r="B112" s="123" t="s">
        <v>212</v>
      </c>
      <c r="C112" s="125">
        <v>14000</v>
      </c>
      <c r="D112" s="124">
        <v>14000</v>
      </c>
      <c r="E112" s="117">
        <f t="shared" si="4"/>
        <v>0</v>
      </c>
      <c r="F112" s="118">
        <f t="shared" si="5"/>
        <v>100</v>
      </c>
      <c r="G112" s="86"/>
      <c r="H112" s="189">
        <f t="shared" si="3"/>
        <v>14000</v>
      </c>
      <c r="I112" s="8"/>
      <c r="J112" s="183">
        <f>D112</f>
        <v>14000</v>
      </c>
      <c r="K112" s="8"/>
      <c r="L112" s="8"/>
      <c r="M112" s="8"/>
      <c r="N112" s="185"/>
    </row>
    <row r="113" spans="1:14" ht="18">
      <c r="A113" s="122"/>
      <c r="B113" s="123" t="s">
        <v>215</v>
      </c>
      <c r="C113" s="125"/>
      <c r="D113" s="124"/>
      <c r="E113" s="117"/>
      <c r="F113" s="118"/>
      <c r="G113" s="86"/>
      <c r="H113" s="189">
        <f t="shared" si="3"/>
        <v>0</v>
      </c>
      <c r="I113" s="8"/>
      <c r="J113" s="8"/>
      <c r="K113" s="8"/>
      <c r="L113" s="8"/>
      <c r="M113" s="8"/>
      <c r="N113" s="185"/>
    </row>
    <row r="114" spans="1:14" ht="18">
      <c r="A114" s="122" t="s">
        <v>240</v>
      </c>
      <c r="B114" s="123" t="s">
        <v>241</v>
      </c>
      <c r="C114" s="125">
        <v>500</v>
      </c>
      <c r="D114" s="124">
        <v>500</v>
      </c>
      <c r="E114" s="117">
        <f t="shared" si="4"/>
        <v>0</v>
      </c>
      <c r="F114" s="118">
        <f t="shared" si="5"/>
        <v>100</v>
      </c>
      <c r="G114" s="86"/>
      <c r="H114" s="189">
        <f t="shared" si="3"/>
        <v>500</v>
      </c>
      <c r="I114" s="8"/>
      <c r="J114" s="183">
        <f>D114</f>
        <v>500</v>
      </c>
      <c r="K114" s="8"/>
      <c r="L114" s="8"/>
      <c r="M114" s="8"/>
      <c r="N114" s="185"/>
    </row>
    <row r="115" spans="1:14" ht="18">
      <c r="A115" s="122"/>
      <c r="B115" s="123" t="s">
        <v>242</v>
      </c>
      <c r="C115" s="125"/>
      <c r="D115" s="124"/>
      <c r="E115" s="117"/>
      <c r="F115" s="118"/>
      <c r="G115" s="86"/>
      <c r="H115" s="189">
        <f t="shared" si="3"/>
        <v>0</v>
      </c>
      <c r="I115" s="8"/>
      <c r="J115" s="8"/>
      <c r="K115" s="8"/>
      <c r="L115" s="8"/>
      <c r="M115" s="8"/>
      <c r="N115" s="185"/>
    </row>
    <row r="116" spans="1:14" ht="18">
      <c r="A116" s="122" t="s">
        <v>36</v>
      </c>
      <c r="B116" s="123" t="s">
        <v>37</v>
      </c>
      <c r="C116" s="125">
        <v>10000</v>
      </c>
      <c r="D116" s="124">
        <v>10000</v>
      </c>
      <c r="E116" s="117">
        <f t="shared" si="4"/>
        <v>0</v>
      </c>
      <c r="F116" s="118">
        <f t="shared" si="5"/>
        <v>100</v>
      </c>
      <c r="G116" s="86"/>
      <c r="H116" s="189">
        <f t="shared" si="3"/>
        <v>10000</v>
      </c>
      <c r="I116" s="8"/>
      <c r="J116" s="183">
        <f>D116</f>
        <v>10000</v>
      </c>
      <c r="K116" s="8"/>
      <c r="L116" s="8"/>
      <c r="M116" s="8"/>
      <c r="N116" s="185"/>
    </row>
    <row r="117" spans="1:14" ht="18">
      <c r="A117" s="122" t="s">
        <v>53</v>
      </c>
      <c r="B117" s="123" t="s">
        <v>54</v>
      </c>
      <c r="C117" s="125">
        <f>7000-1500</f>
        <v>5500</v>
      </c>
      <c r="D117" s="124">
        <f>7000-1500</f>
        <v>5500</v>
      </c>
      <c r="E117" s="117">
        <f t="shared" si="4"/>
        <v>0</v>
      </c>
      <c r="F117" s="118">
        <f t="shared" si="5"/>
        <v>100</v>
      </c>
      <c r="G117" s="86"/>
      <c r="H117" s="189">
        <f t="shared" si="3"/>
        <v>5500</v>
      </c>
      <c r="I117" s="8"/>
      <c r="J117" s="183">
        <f>D117</f>
        <v>5500</v>
      </c>
      <c r="K117" s="8"/>
      <c r="L117" s="8"/>
      <c r="M117" s="8"/>
      <c r="N117" s="185"/>
    </row>
    <row r="118" spans="1:14" ht="18">
      <c r="A118" s="122" t="s">
        <v>38</v>
      </c>
      <c r="B118" s="123" t="s">
        <v>72</v>
      </c>
      <c r="C118" s="125">
        <v>30000</v>
      </c>
      <c r="D118" s="124">
        <v>32000</v>
      </c>
      <c r="E118" s="117">
        <f t="shared" si="4"/>
        <v>2000</v>
      </c>
      <c r="F118" s="118">
        <f t="shared" si="5"/>
        <v>106.66666666666667</v>
      </c>
      <c r="G118" s="86"/>
      <c r="H118" s="189">
        <f t="shared" si="3"/>
        <v>32000</v>
      </c>
      <c r="I118" s="8"/>
      <c r="J118" s="183">
        <f>D118</f>
        <v>32000</v>
      </c>
      <c r="K118" s="8"/>
      <c r="L118" s="8"/>
      <c r="M118" s="8"/>
      <c r="N118" s="185"/>
    </row>
    <row r="119" spans="1:14" ht="18">
      <c r="A119" s="122" t="s">
        <v>243</v>
      </c>
      <c r="B119" s="123" t="s">
        <v>244</v>
      </c>
      <c r="C119" s="125">
        <v>500</v>
      </c>
      <c r="D119" s="124">
        <v>500</v>
      </c>
      <c r="E119" s="117">
        <f t="shared" si="4"/>
        <v>0</v>
      </c>
      <c r="F119" s="118">
        <f t="shared" si="5"/>
        <v>100</v>
      </c>
      <c r="G119" s="86"/>
      <c r="H119" s="189">
        <f t="shared" si="3"/>
        <v>500</v>
      </c>
      <c r="I119" s="8"/>
      <c r="J119" s="183">
        <f>D119</f>
        <v>500</v>
      </c>
      <c r="K119" s="8"/>
      <c r="L119" s="8"/>
      <c r="M119" s="8"/>
      <c r="N119" s="185"/>
    </row>
    <row r="120" spans="1:14" ht="18">
      <c r="A120" s="122" t="s">
        <v>254</v>
      </c>
      <c r="B120" s="123" t="s">
        <v>255</v>
      </c>
      <c r="C120" s="125">
        <v>500</v>
      </c>
      <c r="D120" s="124">
        <v>500</v>
      </c>
      <c r="E120" s="117">
        <f t="shared" si="4"/>
        <v>0</v>
      </c>
      <c r="F120" s="118">
        <f t="shared" si="5"/>
        <v>100</v>
      </c>
      <c r="G120" s="86"/>
      <c r="H120" s="189">
        <f t="shared" si="3"/>
        <v>500</v>
      </c>
      <c r="I120" s="8"/>
      <c r="J120" s="183">
        <f>D120</f>
        <v>500</v>
      </c>
      <c r="K120" s="8"/>
      <c r="L120" s="8"/>
      <c r="M120" s="8"/>
      <c r="N120" s="185"/>
    </row>
    <row r="121" spans="1:14" ht="18">
      <c r="A121" s="122"/>
      <c r="B121" s="123" t="s">
        <v>256</v>
      </c>
      <c r="C121" s="125"/>
      <c r="D121" s="124"/>
      <c r="E121" s="117"/>
      <c r="F121" s="118"/>
      <c r="G121" s="86"/>
      <c r="H121" s="189">
        <f t="shared" si="3"/>
        <v>0</v>
      </c>
      <c r="I121" s="8"/>
      <c r="J121" s="8"/>
      <c r="K121" s="8"/>
      <c r="L121" s="8"/>
      <c r="M121" s="8"/>
      <c r="N121" s="185"/>
    </row>
    <row r="122" spans="1:14" ht="18">
      <c r="A122" s="122" t="s">
        <v>226</v>
      </c>
      <c r="B122" s="123" t="s">
        <v>227</v>
      </c>
      <c r="C122" s="125">
        <v>100</v>
      </c>
      <c r="D122" s="124">
        <v>100</v>
      </c>
      <c r="E122" s="117">
        <f t="shared" si="4"/>
        <v>0</v>
      </c>
      <c r="F122" s="118">
        <f t="shared" si="5"/>
        <v>100</v>
      </c>
      <c r="G122" s="86"/>
      <c r="H122" s="189">
        <f t="shared" si="3"/>
        <v>100</v>
      </c>
      <c r="I122" s="8"/>
      <c r="J122" s="183">
        <f>D122</f>
        <v>100</v>
      </c>
      <c r="K122" s="8"/>
      <c r="L122" s="8"/>
      <c r="M122" s="8"/>
      <c r="N122" s="185"/>
    </row>
    <row r="123" spans="1:14" ht="18">
      <c r="A123" s="122" t="s">
        <v>223</v>
      </c>
      <c r="B123" s="123" t="s">
        <v>224</v>
      </c>
      <c r="C123" s="125">
        <v>15000</v>
      </c>
      <c r="D123" s="124">
        <v>15000</v>
      </c>
      <c r="E123" s="117">
        <f t="shared" si="4"/>
        <v>0</v>
      </c>
      <c r="F123" s="118">
        <f t="shared" si="5"/>
        <v>100</v>
      </c>
      <c r="G123" s="86"/>
      <c r="H123" s="189">
        <f t="shared" si="3"/>
        <v>15000</v>
      </c>
      <c r="I123" s="8"/>
      <c r="J123" s="183">
        <f>D123</f>
        <v>15000</v>
      </c>
      <c r="K123" s="8"/>
      <c r="L123" s="8"/>
      <c r="M123" s="8"/>
      <c r="N123" s="185"/>
    </row>
    <row r="124" spans="1:14" ht="18">
      <c r="A124" s="122"/>
      <c r="B124" s="123" t="s">
        <v>225</v>
      </c>
      <c r="C124" s="125"/>
      <c r="D124" s="124"/>
      <c r="E124" s="117"/>
      <c r="F124" s="118"/>
      <c r="G124" s="86"/>
      <c r="H124" s="189">
        <f t="shared" si="3"/>
        <v>0</v>
      </c>
      <c r="I124" s="8"/>
      <c r="J124" s="8"/>
      <c r="K124" s="8"/>
      <c r="L124" s="8"/>
      <c r="M124" s="8"/>
      <c r="N124" s="185"/>
    </row>
    <row r="125" spans="1:14" ht="18">
      <c r="A125" s="122" t="s">
        <v>216</v>
      </c>
      <c r="B125" s="123" t="s">
        <v>218</v>
      </c>
      <c r="C125" s="125">
        <v>4500</v>
      </c>
      <c r="D125" s="124">
        <v>4500</v>
      </c>
      <c r="E125" s="117">
        <f t="shared" si="4"/>
        <v>0</v>
      </c>
      <c r="F125" s="118">
        <f t="shared" si="5"/>
        <v>100</v>
      </c>
      <c r="G125" s="86"/>
      <c r="H125" s="189">
        <f t="shared" si="3"/>
        <v>4500</v>
      </c>
      <c r="I125" s="8"/>
      <c r="J125" s="183">
        <f>D125</f>
        <v>4500</v>
      </c>
      <c r="K125" s="8"/>
      <c r="L125" s="8"/>
      <c r="M125" s="8"/>
      <c r="N125" s="185"/>
    </row>
    <row r="126" spans="1:14" ht="18">
      <c r="A126" s="122"/>
      <c r="B126" s="123" t="s">
        <v>217</v>
      </c>
      <c r="C126" s="125"/>
      <c r="D126" s="124"/>
      <c r="E126" s="117"/>
      <c r="F126" s="118"/>
      <c r="G126" s="86"/>
      <c r="H126" s="189">
        <f t="shared" si="3"/>
        <v>0</v>
      </c>
      <c r="I126" s="8"/>
      <c r="J126" s="8"/>
      <c r="K126" s="8"/>
      <c r="L126" s="8"/>
      <c r="M126" s="8"/>
      <c r="N126" s="185"/>
    </row>
    <row r="127" spans="1:14" ht="18">
      <c r="A127" s="122" t="s">
        <v>219</v>
      </c>
      <c r="B127" s="123" t="s">
        <v>220</v>
      </c>
      <c r="C127" s="125">
        <v>15000</v>
      </c>
      <c r="D127" s="124">
        <v>15000</v>
      </c>
      <c r="E127" s="117">
        <f t="shared" si="4"/>
        <v>0</v>
      </c>
      <c r="F127" s="118">
        <f t="shared" si="5"/>
        <v>100</v>
      </c>
      <c r="G127" s="86"/>
      <c r="H127" s="189">
        <f t="shared" si="3"/>
        <v>15000</v>
      </c>
      <c r="I127" s="8"/>
      <c r="J127" s="183">
        <f>D127</f>
        <v>15000</v>
      </c>
      <c r="K127" s="8"/>
      <c r="L127" s="8"/>
      <c r="M127" s="8"/>
      <c r="N127" s="185"/>
    </row>
    <row r="128" spans="1:14" ht="18">
      <c r="A128" s="122"/>
      <c r="B128" s="123" t="s">
        <v>221</v>
      </c>
      <c r="C128" s="125"/>
      <c r="D128" s="124"/>
      <c r="E128" s="117"/>
      <c r="F128" s="118"/>
      <c r="G128" s="86"/>
      <c r="H128" s="189">
        <f t="shared" si="3"/>
        <v>0</v>
      </c>
      <c r="I128" s="8"/>
      <c r="J128" s="8"/>
      <c r="K128" s="8"/>
      <c r="L128" s="8"/>
      <c r="M128" s="8"/>
      <c r="N128" s="185"/>
    </row>
    <row r="129" spans="1:14" ht="18">
      <c r="A129" s="122" t="s">
        <v>73</v>
      </c>
      <c r="B129" s="123" t="s">
        <v>74</v>
      </c>
      <c r="C129" s="125">
        <v>46000</v>
      </c>
      <c r="D129" s="124">
        <v>40000</v>
      </c>
      <c r="E129" s="117">
        <f t="shared" si="4"/>
        <v>-6000</v>
      </c>
      <c r="F129" s="118">
        <f t="shared" si="5"/>
        <v>86.95652173913044</v>
      </c>
      <c r="G129" s="86" t="s">
        <v>366</v>
      </c>
      <c r="H129" s="189">
        <f t="shared" si="3"/>
        <v>0</v>
      </c>
      <c r="I129" s="183"/>
      <c r="J129" s="183"/>
      <c r="K129" s="183"/>
      <c r="L129" s="183"/>
      <c r="M129" s="183"/>
      <c r="N129" s="186">
        <f>D129</f>
        <v>40000</v>
      </c>
    </row>
    <row r="130" spans="1:14" ht="18">
      <c r="A130" s="122"/>
      <c r="B130" s="123" t="s">
        <v>75</v>
      </c>
      <c r="C130" s="125"/>
      <c r="D130" s="124"/>
      <c r="E130" s="117"/>
      <c r="F130" s="118"/>
      <c r="G130" s="86"/>
      <c r="H130" s="189">
        <f t="shared" si="3"/>
        <v>0</v>
      </c>
      <c r="I130" s="8"/>
      <c r="J130" s="8"/>
      <c r="K130" s="8"/>
      <c r="L130" s="8"/>
      <c r="M130" s="8"/>
      <c r="N130" s="185"/>
    </row>
    <row r="131" spans="1:14" ht="18">
      <c r="A131" s="122"/>
      <c r="B131" s="123"/>
      <c r="C131" s="125"/>
      <c r="D131" s="124"/>
      <c r="E131" s="117"/>
      <c r="F131" s="118"/>
      <c r="G131" s="86"/>
      <c r="H131" s="189">
        <f t="shared" si="3"/>
        <v>0</v>
      </c>
      <c r="I131" s="8"/>
      <c r="J131" s="8"/>
      <c r="K131" s="8"/>
      <c r="L131" s="8"/>
      <c r="M131" s="8"/>
      <c r="N131" s="185"/>
    </row>
    <row r="132" spans="1:14" ht="18">
      <c r="A132" s="126" t="s">
        <v>179</v>
      </c>
      <c r="B132" s="127" t="s">
        <v>180</v>
      </c>
      <c r="C132" s="129">
        <f>SUM(C133:C137)</f>
        <v>66800</v>
      </c>
      <c r="D132" s="128">
        <f>SUM(D133:D137)</f>
        <v>27800</v>
      </c>
      <c r="E132" s="117">
        <f t="shared" si="4"/>
        <v>-39000</v>
      </c>
      <c r="F132" s="118">
        <f t="shared" si="5"/>
        <v>41.616766467065865</v>
      </c>
      <c r="G132" s="86"/>
      <c r="H132" s="189">
        <f t="shared" si="3"/>
        <v>0</v>
      </c>
      <c r="I132" s="8"/>
      <c r="J132" s="8"/>
      <c r="K132" s="8"/>
      <c r="L132" s="8"/>
      <c r="M132" s="8"/>
      <c r="N132" s="185"/>
    </row>
    <row r="133" spans="1:14" ht="18">
      <c r="A133" s="122" t="s">
        <v>32</v>
      </c>
      <c r="B133" s="167" t="s">
        <v>33</v>
      </c>
      <c r="C133" s="125">
        <v>2500</v>
      </c>
      <c r="D133" s="124">
        <v>2500</v>
      </c>
      <c r="E133" s="117">
        <f t="shared" si="4"/>
        <v>0</v>
      </c>
      <c r="F133" s="118">
        <f t="shared" si="5"/>
        <v>100</v>
      </c>
      <c r="G133" s="86"/>
      <c r="H133" s="189">
        <f t="shared" si="3"/>
        <v>2500</v>
      </c>
      <c r="I133" s="183">
        <f>D133</f>
        <v>2500</v>
      </c>
      <c r="J133" s="8"/>
      <c r="K133" s="8"/>
      <c r="L133" s="8"/>
      <c r="M133" s="8"/>
      <c r="N133" s="185"/>
    </row>
    <row r="134" spans="1:14" ht="18">
      <c r="A134" s="122" t="s">
        <v>34</v>
      </c>
      <c r="B134" s="167" t="s">
        <v>35</v>
      </c>
      <c r="C134" s="125">
        <v>20000</v>
      </c>
      <c r="D134" s="124">
        <v>21000</v>
      </c>
      <c r="E134" s="117">
        <f t="shared" si="4"/>
        <v>1000</v>
      </c>
      <c r="F134" s="118">
        <f t="shared" si="5"/>
        <v>105</v>
      </c>
      <c r="G134" s="86"/>
      <c r="H134" s="189">
        <f t="shared" si="3"/>
        <v>21000</v>
      </c>
      <c r="I134" s="8"/>
      <c r="J134" s="183">
        <f>D134</f>
        <v>21000</v>
      </c>
      <c r="K134" s="8"/>
      <c r="L134" s="8"/>
      <c r="M134" s="8"/>
      <c r="N134" s="185"/>
    </row>
    <row r="135" spans="1:14" ht="18">
      <c r="A135" s="122" t="s">
        <v>16</v>
      </c>
      <c r="B135" s="167" t="s">
        <v>17</v>
      </c>
      <c r="C135" s="125">
        <v>3000</v>
      </c>
      <c r="D135" s="124">
        <v>3000</v>
      </c>
      <c r="E135" s="117">
        <f t="shared" si="4"/>
        <v>0</v>
      </c>
      <c r="F135" s="118">
        <f t="shared" si="5"/>
        <v>100</v>
      </c>
      <c r="G135" s="86"/>
      <c r="H135" s="189">
        <f aca="true" t="shared" si="7" ref="H135:H198">SUM(I135:M135)</f>
        <v>3000</v>
      </c>
      <c r="I135" s="8"/>
      <c r="J135" s="183">
        <f>D135</f>
        <v>3000</v>
      </c>
      <c r="K135" s="8"/>
      <c r="L135" s="8"/>
      <c r="M135" s="8"/>
      <c r="N135" s="185"/>
    </row>
    <row r="136" spans="1:14" ht="18">
      <c r="A136" s="122" t="s">
        <v>53</v>
      </c>
      <c r="B136" s="167" t="s">
        <v>54</v>
      </c>
      <c r="C136" s="125">
        <v>1300</v>
      </c>
      <c r="D136" s="124">
        <v>1300</v>
      </c>
      <c r="E136" s="117">
        <f aca="true" t="shared" si="8" ref="E136:E144">D136-C136</f>
        <v>0</v>
      </c>
      <c r="F136" s="118">
        <f t="shared" si="5"/>
        <v>100</v>
      </c>
      <c r="G136" s="86"/>
      <c r="H136" s="189">
        <f t="shared" si="7"/>
        <v>1300</v>
      </c>
      <c r="I136" s="8"/>
      <c r="J136" s="183">
        <f>D136</f>
        <v>1300</v>
      </c>
      <c r="K136" s="8"/>
      <c r="L136" s="8"/>
      <c r="M136" s="8"/>
      <c r="N136" s="185"/>
    </row>
    <row r="137" spans="1:14" ht="36">
      <c r="A137" s="122" t="s">
        <v>73</v>
      </c>
      <c r="B137" s="123" t="s">
        <v>74</v>
      </c>
      <c r="C137" s="125">
        <v>40000</v>
      </c>
      <c r="D137" s="124">
        <v>0</v>
      </c>
      <c r="E137" s="117">
        <f t="shared" si="8"/>
        <v>-40000</v>
      </c>
      <c r="F137" s="118">
        <f t="shared" si="5"/>
        <v>0</v>
      </c>
      <c r="G137" s="86" t="s">
        <v>291</v>
      </c>
      <c r="H137" s="189">
        <f t="shared" si="7"/>
        <v>0</v>
      </c>
      <c r="I137" s="8"/>
      <c r="J137" s="8"/>
      <c r="K137" s="8"/>
      <c r="L137" s="8"/>
      <c r="M137" s="8"/>
      <c r="N137" s="186">
        <f>D137</f>
        <v>0</v>
      </c>
    </row>
    <row r="138" spans="1:14" ht="18">
      <c r="A138" s="122"/>
      <c r="B138" s="123" t="s">
        <v>75</v>
      </c>
      <c r="C138" s="125"/>
      <c r="D138" s="124"/>
      <c r="E138" s="117">
        <f t="shared" si="8"/>
        <v>0</v>
      </c>
      <c r="F138" s="118"/>
      <c r="G138" s="86"/>
      <c r="H138" s="189">
        <f t="shared" si="7"/>
        <v>0</v>
      </c>
      <c r="I138" s="8"/>
      <c r="J138" s="8"/>
      <c r="K138" s="8"/>
      <c r="L138" s="8"/>
      <c r="M138" s="8"/>
      <c r="N138" s="185"/>
    </row>
    <row r="139" spans="1:14" ht="18">
      <c r="A139" s="113" t="s">
        <v>76</v>
      </c>
      <c r="B139" s="114" t="s">
        <v>15</v>
      </c>
      <c r="C139" s="116">
        <f>SUM(C140:C143)</f>
        <v>15000</v>
      </c>
      <c r="D139" s="115">
        <f>SUM(D140:D143)</f>
        <v>15000</v>
      </c>
      <c r="E139" s="117">
        <f t="shared" si="8"/>
        <v>0</v>
      </c>
      <c r="F139" s="118">
        <f t="shared" si="5"/>
        <v>100</v>
      </c>
      <c r="G139" s="86"/>
      <c r="H139" s="189">
        <f t="shared" si="7"/>
        <v>0</v>
      </c>
      <c r="I139" s="8"/>
      <c r="J139" s="8"/>
      <c r="K139" s="8"/>
      <c r="L139" s="8"/>
      <c r="M139" s="8"/>
      <c r="N139" s="185"/>
    </row>
    <row r="140" spans="1:14" ht="18">
      <c r="A140" s="166" t="s">
        <v>32</v>
      </c>
      <c r="B140" s="167" t="s">
        <v>33</v>
      </c>
      <c r="C140" s="121">
        <v>3000</v>
      </c>
      <c r="D140" s="120">
        <v>3000</v>
      </c>
      <c r="E140" s="117">
        <f t="shared" si="8"/>
        <v>0</v>
      </c>
      <c r="F140" s="118">
        <f t="shared" si="5"/>
        <v>100</v>
      </c>
      <c r="G140" s="86"/>
      <c r="H140" s="189">
        <f t="shared" si="7"/>
        <v>3000</v>
      </c>
      <c r="I140" s="183">
        <f>D140</f>
        <v>3000</v>
      </c>
      <c r="J140" s="8"/>
      <c r="K140" s="8"/>
      <c r="L140" s="8"/>
      <c r="M140" s="8"/>
      <c r="N140" s="185"/>
    </row>
    <row r="141" spans="1:14" ht="18">
      <c r="A141" s="166" t="s">
        <v>34</v>
      </c>
      <c r="B141" s="167" t="s">
        <v>35</v>
      </c>
      <c r="C141" s="121">
        <v>5000</v>
      </c>
      <c r="D141" s="120">
        <v>5000</v>
      </c>
      <c r="E141" s="117">
        <f t="shared" si="8"/>
        <v>0</v>
      </c>
      <c r="F141" s="118">
        <f t="shared" si="5"/>
        <v>100</v>
      </c>
      <c r="G141" s="86"/>
      <c r="H141" s="189">
        <f t="shared" si="7"/>
        <v>5000</v>
      </c>
      <c r="I141" s="8"/>
      <c r="J141" s="183">
        <f>D141</f>
        <v>5000</v>
      </c>
      <c r="K141" s="8"/>
      <c r="L141" s="8"/>
      <c r="M141" s="8"/>
      <c r="N141" s="185"/>
    </row>
    <row r="142" spans="1:14" ht="18">
      <c r="A142" s="166" t="s">
        <v>16</v>
      </c>
      <c r="B142" s="167" t="s">
        <v>17</v>
      </c>
      <c r="C142" s="121">
        <f>2000+5000</f>
        <v>7000</v>
      </c>
      <c r="D142" s="120">
        <f>2000+5000</f>
        <v>7000</v>
      </c>
      <c r="E142" s="117">
        <f t="shared" si="8"/>
        <v>0</v>
      </c>
      <c r="F142" s="118">
        <f t="shared" si="5"/>
        <v>100</v>
      </c>
      <c r="G142" s="86"/>
      <c r="H142" s="189">
        <f t="shared" si="7"/>
        <v>7000</v>
      </c>
      <c r="I142" s="8"/>
      <c r="J142" s="183">
        <f>D142</f>
        <v>7000</v>
      </c>
      <c r="K142" s="8"/>
      <c r="L142" s="8"/>
      <c r="M142" s="8"/>
      <c r="N142" s="185"/>
    </row>
    <row r="143" spans="1:14" ht="18">
      <c r="A143" s="168"/>
      <c r="B143" s="143"/>
      <c r="C143" s="169"/>
      <c r="D143" s="144"/>
      <c r="E143" s="117"/>
      <c r="F143" s="118"/>
      <c r="G143" s="86"/>
      <c r="H143" s="189">
        <f t="shared" si="7"/>
        <v>0</v>
      </c>
      <c r="I143" s="8"/>
      <c r="J143" s="8"/>
      <c r="K143" s="8"/>
      <c r="L143" s="8"/>
      <c r="M143" s="8"/>
      <c r="N143" s="185"/>
    </row>
    <row r="144" spans="1:14" ht="18">
      <c r="A144" s="113" t="s">
        <v>77</v>
      </c>
      <c r="B144" s="114" t="s">
        <v>78</v>
      </c>
      <c r="C144" s="116">
        <f>SUM(C147)</f>
        <v>925</v>
      </c>
      <c r="D144" s="115">
        <f>SUM(D147)</f>
        <v>944</v>
      </c>
      <c r="E144" s="117">
        <f t="shared" si="8"/>
        <v>19</v>
      </c>
      <c r="F144" s="118">
        <f t="shared" si="5"/>
        <v>102.05405405405405</v>
      </c>
      <c r="G144" s="86" t="s">
        <v>331</v>
      </c>
      <c r="H144" s="189">
        <f t="shared" si="7"/>
        <v>0</v>
      </c>
      <c r="I144" s="8"/>
      <c r="J144" s="8"/>
      <c r="K144" s="8"/>
      <c r="L144" s="8"/>
      <c r="M144" s="8"/>
      <c r="N144" s="185"/>
    </row>
    <row r="145" spans="1:14" ht="18">
      <c r="A145" s="119"/>
      <c r="B145" s="114" t="s">
        <v>79</v>
      </c>
      <c r="C145" s="121"/>
      <c r="D145" s="120"/>
      <c r="E145" s="117"/>
      <c r="F145" s="118"/>
      <c r="G145" s="86" t="s">
        <v>332</v>
      </c>
      <c r="H145" s="189">
        <f t="shared" si="7"/>
        <v>0</v>
      </c>
      <c r="I145" s="8"/>
      <c r="J145" s="8"/>
      <c r="K145" s="8"/>
      <c r="L145" s="8"/>
      <c r="M145" s="8"/>
      <c r="N145" s="185"/>
    </row>
    <row r="146" spans="1:14" ht="18">
      <c r="A146" s="122"/>
      <c r="B146" s="123"/>
      <c r="C146" s="125"/>
      <c r="D146" s="124"/>
      <c r="E146" s="117"/>
      <c r="F146" s="118"/>
      <c r="G146" s="86" t="s">
        <v>333</v>
      </c>
      <c r="H146" s="189">
        <f t="shared" si="7"/>
        <v>0</v>
      </c>
      <c r="I146" s="8"/>
      <c r="J146" s="8"/>
      <c r="K146" s="8"/>
      <c r="L146" s="8"/>
      <c r="M146" s="8"/>
      <c r="N146" s="185"/>
    </row>
    <row r="147" spans="1:14" ht="18">
      <c r="A147" s="126" t="s">
        <v>80</v>
      </c>
      <c r="B147" s="127" t="s">
        <v>81</v>
      </c>
      <c r="C147" s="129">
        <f>SUM(C149:C151)</f>
        <v>925</v>
      </c>
      <c r="D147" s="128">
        <f>SUM(D149:D151)</f>
        <v>944</v>
      </c>
      <c r="E147" s="117">
        <f aca="true" t="shared" si="9" ref="E147:E210">D147-C147</f>
        <v>19</v>
      </c>
      <c r="F147" s="118">
        <f aca="true" t="shared" si="10" ref="F147:F210">D147*100/C147</f>
        <v>102.05405405405405</v>
      </c>
      <c r="G147" s="86" t="s">
        <v>334</v>
      </c>
      <c r="H147" s="189">
        <f t="shared" si="7"/>
        <v>0</v>
      </c>
      <c r="I147" s="8"/>
      <c r="J147" s="8"/>
      <c r="K147" s="8"/>
      <c r="L147" s="8"/>
      <c r="M147" s="8"/>
      <c r="N147" s="185"/>
    </row>
    <row r="148" spans="1:14" ht="18">
      <c r="A148" s="122"/>
      <c r="B148" s="127" t="s">
        <v>82</v>
      </c>
      <c r="C148" s="125"/>
      <c r="D148" s="124"/>
      <c r="E148" s="117"/>
      <c r="F148" s="118"/>
      <c r="G148" s="86"/>
      <c r="H148" s="189">
        <f t="shared" si="7"/>
        <v>0</v>
      </c>
      <c r="I148" s="8"/>
      <c r="J148" s="8"/>
      <c r="K148" s="8"/>
      <c r="L148" s="8"/>
      <c r="M148" s="8"/>
      <c r="N148" s="185"/>
    </row>
    <row r="149" spans="1:14" ht="18">
      <c r="A149" s="122" t="s">
        <v>26</v>
      </c>
      <c r="B149" s="123" t="s">
        <v>27</v>
      </c>
      <c r="C149" s="125">
        <v>120</v>
      </c>
      <c r="D149" s="124">
        <v>122</v>
      </c>
      <c r="E149" s="117">
        <f t="shared" si="9"/>
        <v>2</v>
      </c>
      <c r="F149" s="118">
        <f t="shared" si="10"/>
        <v>101.66666666666667</v>
      </c>
      <c r="G149" s="86"/>
      <c r="H149" s="189">
        <f t="shared" si="7"/>
        <v>122</v>
      </c>
      <c r="I149" s="183">
        <f>D149</f>
        <v>122</v>
      </c>
      <c r="J149" s="8"/>
      <c r="K149" s="8"/>
      <c r="L149" s="8"/>
      <c r="M149" s="8"/>
      <c r="N149" s="185"/>
    </row>
    <row r="150" spans="1:14" ht="18">
      <c r="A150" s="122" t="s">
        <v>28</v>
      </c>
      <c r="B150" s="123" t="s">
        <v>29</v>
      </c>
      <c r="C150" s="125">
        <v>20</v>
      </c>
      <c r="D150" s="124">
        <v>20</v>
      </c>
      <c r="E150" s="117">
        <f t="shared" si="9"/>
        <v>0</v>
      </c>
      <c r="F150" s="118">
        <f t="shared" si="10"/>
        <v>100</v>
      </c>
      <c r="G150" s="86"/>
      <c r="H150" s="189">
        <f t="shared" si="7"/>
        <v>20</v>
      </c>
      <c r="I150" s="183">
        <f>D150</f>
        <v>20</v>
      </c>
      <c r="J150" s="8"/>
      <c r="K150" s="8"/>
      <c r="L150" s="8"/>
      <c r="M150" s="8"/>
      <c r="N150" s="185"/>
    </row>
    <row r="151" spans="1:14" ht="18">
      <c r="A151" s="122" t="s">
        <v>32</v>
      </c>
      <c r="B151" s="123" t="s">
        <v>33</v>
      </c>
      <c r="C151" s="125">
        <v>785</v>
      </c>
      <c r="D151" s="124">
        <v>802</v>
      </c>
      <c r="E151" s="117">
        <f t="shared" si="9"/>
        <v>17</v>
      </c>
      <c r="F151" s="118">
        <f t="shared" si="10"/>
        <v>102.1656050955414</v>
      </c>
      <c r="G151" s="86"/>
      <c r="H151" s="189">
        <f t="shared" si="7"/>
        <v>802</v>
      </c>
      <c r="I151" s="183">
        <f>D151</f>
        <v>802</v>
      </c>
      <c r="J151" s="8"/>
      <c r="K151" s="8"/>
      <c r="L151" s="8"/>
      <c r="M151" s="8"/>
      <c r="N151" s="185"/>
    </row>
    <row r="152" spans="1:14" ht="17.25" customHeight="1">
      <c r="A152" s="130"/>
      <c r="B152" s="131"/>
      <c r="C152" s="133"/>
      <c r="D152" s="132"/>
      <c r="E152" s="117"/>
      <c r="F152" s="118"/>
      <c r="G152" s="86"/>
      <c r="H152" s="189">
        <f t="shared" si="7"/>
        <v>0</v>
      </c>
      <c r="I152" s="8"/>
      <c r="J152" s="8"/>
      <c r="K152" s="8"/>
      <c r="L152" s="8"/>
      <c r="M152" s="8"/>
      <c r="N152" s="185"/>
    </row>
    <row r="153" spans="1:14" ht="18">
      <c r="A153" s="178" t="s">
        <v>83</v>
      </c>
      <c r="B153" s="179" t="s">
        <v>84</v>
      </c>
      <c r="C153" s="138">
        <f>SUM(C155+C177+C181)</f>
        <v>132800</v>
      </c>
      <c r="D153" s="136">
        <f>SUM(D155+D177+D181)</f>
        <v>295835</v>
      </c>
      <c r="E153" s="117">
        <f t="shared" si="9"/>
        <v>163035</v>
      </c>
      <c r="F153" s="118">
        <f t="shared" si="10"/>
        <v>222.76731927710844</v>
      </c>
      <c r="G153" s="86"/>
      <c r="H153" s="189">
        <f t="shared" si="7"/>
        <v>0</v>
      </c>
      <c r="I153" s="8"/>
      <c r="J153" s="8"/>
      <c r="K153" s="8"/>
      <c r="L153" s="8"/>
      <c r="M153" s="8"/>
      <c r="N153" s="185"/>
    </row>
    <row r="154" spans="1:14" ht="18">
      <c r="A154" s="158"/>
      <c r="B154" s="164" t="s">
        <v>85</v>
      </c>
      <c r="C154" s="125"/>
      <c r="D154" s="124"/>
      <c r="E154" s="117"/>
      <c r="F154" s="118"/>
      <c r="G154" s="86"/>
      <c r="H154" s="189">
        <f t="shared" si="7"/>
        <v>0</v>
      </c>
      <c r="I154" s="8"/>
      <c r="J154" s="8"/>
      <c r="K154" s="8"/>
      <c r="L154" s="8"/>
      <c r="M154" s="8"/>
      <c r="N154" s="185"/>
    </row>
    <row r="155" spans="1:14" ht="18">
      <c r="A155" s="163" t="s">
        <v>86</v>
      </c>
      <c r="B155" s="164" t="s">
        <v>87</v>
      </c>
      <c r="C155" s="129">
        <f>SUM(C156:C175)</f>
        <v>122800</v>
      </c>
      <c r="D155" s="128">
        <f>SUM(D156:D175)</f>
        <v>280635</v>
      </c>
      <c r="E155" s="117">
        <f t="shared" si="9"/>
        <v>157835</v>
      </c>
      <c r="F155" s="118">
        <f t="shared" si="10"/>
        <v>228.5301302931596</v>
      </c>
      <c r="G155" s="86"/>
      <c r="H155" s="189">
        <f t="shared" si="7"/>
        <v>0</v>
      </c>
      <c r="I155" s="8"/>
      <c r="J155" s="8"/>
      <c r="K155" s="8"/>
      <c r="L155" s="8"/>
      <c r="M155" s="8"/>
      <c r="N155" s="185"/>
    </row>
    <row r="156" spans="1:14" ht="18">
      <c r="A156" s="158" t="s">
        <v>62</v>
      </c>
      <c r="B156" s="165" t="s">
        <v>63</v>
      </c>
      <c r="C156" s="125">
        <v>5000</v>
      </c>
      <c r="D156" s="124">
        <v>5000</v>
      </c>
      <c r="E156" s="117">
        <f t="shared" si="9"/>
        <v>0</v>
      </c>
      <c r="F156" s="118">
        <f t="shared" si="10"/>
        <v>100</v>
      </c>
      <c r="G156" s="86"/>
      <c r="H156" s="189">
        <f t="shared" si="7"/>
        <v>5000</v>
      </c>
      <c r="I156" s="8"/>
      <c r="J156" s="8"/>
      <c r="K156" s="8"/>
      <c r="L156" s="183">
        <f>D156</f>
        <v>5000</v>
      </c>
      <c r="M156" s="8"/>
      <c r="N156" s="185"/>
    </row>
    <row r="157" spans="1:14" ht="18">
      <c r="A157" s="158" t="s">
        <v>26</v>
      </c>
      <c r="B157" s="165" t="s">
        <v>27</v>
      </c>
      <c r="C157" s="125">
        <v>1500</v>
      </c>
      <c r="D157" s="124"/>
      <c r="E157" s="117">
        <f t="shared" si="9"/>
        <v>-1500</v>
      </c>
      <c r="F157" s="118">
        <f t="shared" si="10"/>
        <v>0</v>
      </c>
      <c r="G157" s="86"/>
      <c r="H157" s="189">
        <f t="shared" si="7"/>
        <v>0</v>
      </c>
      <c r="I157" s="183">
        <f>D157</f>
        <v>0</v>
      </c>
      <c r="J157" s="8"/>
      <c r="K157" s="8"/>
      <c r="L157" s="8"/>
      <c r="M157" s="8"/>
      <c r="N157" s="185"/>
    </row>
    <row r="158" spans="1:14" ht="18">
      <c r="A158" s="158" t="s">
        <v>32</v>
      </c>
      <c r="B158" s="165" t="s">
        <v>33</v>
      </c>
      <c r="C158" s="125">
        <v>30000</v>
      </c>
      <c r="D158" s="124">
        <v>25000</v>
      </c>
      <c r="E158" s="117">
        <f t="shared" si="9"/>
        <v>-5000</v>
      </c>
      <c r="F158" s="118">
        <f t="shared" si="10"/>
        <v>83.33333333333333</v>
      </c>
      <c r="G158" s="86"/>
      <c r="H158" s="189">
        <f t="shared" si="7"/>
        <v>25000</v>
      </c>
      <c r="I158" s="183">
        <f>D158</f>
        <v>25000</v>
      </c>
      <c r="J158" s="8"/>
      <c r="K158" s="8"/>
      <c r="L158" s="8"/>
      <c r="M158" s="8"/>
      <c r="N158" s="185"/>
    </row>
    <row r="159" spans="1:14" ht="18">
      <c r="A159" s="158" t="s">
        <v>34</v>
      </c>
      <c r="B159" s="165" t="s">
        <v>35</v>
      </c>
      <c r="C159" s="125">
        <v>22500</v>
      </c>
      <c r="D159" s="124">
        <f>3100+30000</f>
        <v>33100</v>
      </c>
      <c r="E159" s="117">
        <f t="shared" si="9"/>
        <v>10600</v>
      </c>
      <c r="F159" s="118">
        <f t="shared" si="10"/>
        <v>147.11111111111111</v>
      </c>
      <c r="G159" s="86"/>
      <c r="H159" s="189">
        <f t="shared" si="7"/>
        <v>33100</v>
      </c>
      <c r="I159" s="8"/>
      <c r="J159" s="183">
        <f aca="true" t="shared" si="11" ref="J159:J164">D159</f>
        <v>33100</v>
      </c>
      <c r="K159" s="8"/>
      <c r="L159" s="8"/>
      <c r="M159" s="8"/>
      <c r="N159" s="185"/>
    </row>
    <row r="160" spans="1:14" ht="18">
      <c r="A160" s="158" t="s">
        <v>68</v>
      </c>
      <c r="B160" s="165" t="s">
        <v>69</v>
      </c>
      <c r="C160" s="125">
        <v>26000</v>
      </c>
      <c r="D160" s="124">
        <v>25400</v>
      </c>
      <c r="E160" s="117">
        <f t="shared" si="9"/>
        <v>-600</v>
      </c>
      <c r="F160" s="118">
        <f t="shared" si="10"/>
        <v>97.6923076923077</v>
      </c>
      <c r="G160" s="86"/>
      <c r="H160" s="189">
        <f t="shared" si="7"/>
        <v>25400</v>
      </c>
      <c r="I160" s="8"/>
      <c r="J160" s="183">
        <f t="shared" si="11"/>
        <v>25400</v>
      </c>
      <c r="K160" s="8"/>
      <c r="L160" s="8"/>
      <c r="M160" s="8"/>
      <c r="N160" s="185"/>
    </row>
    <row r="161" spans="1:14" ht="18">
      <c r="A161" s="158" t="s">
        <v>44</v>
      </c>
      <c r="B161" s="165" t="s">
        <v>45</v>
      </c>
      <c r="C161" s="125">
        <v>20000</v>
      </c>
      <c r="D161" s="124">
        <v>10000</v>
      </c>
      <c r="E161" s="117">
        <f t="shared" si="9"/>
        <v>-10000</v>
      </c>
      <c r="F161" s="118">
        <f t="shared" si="10"/>
        <v>50</v>
      </c>
      <c r="G161" s="86" t="s">
        <v>365</v>
      </c>
      <c r="H161" s="189">
        <f t="shared" si="7"/>
        <v>10000</v>
      </c>
      <c r="I161" s="8"/>
      <c r="J161" s="183">
        <f t="shared" si="11"/>
        <v>10000</v>
      </c>
      <c r="K161" s="8"/>
      <c r="L161" s="8"/>
      <c r="M161" s="8"/>
      <c r="N161" s="185"/>
    </row>
    <row r="162" spans="1:14" ht="18">
      <c r="A162" s="158" t="s">
        <v>70</v>
      </c>
      <c r="B162" s="165" t="s">
        <v>71</v>
      </c>
      <c r="C162" s="125">
        <v>1500</v>
      </c>
      <c r="D162" s="124">
        <v>2500</v>
      </c>
      <c r="E162" s="117">
        <f t="shared" si="9"/>
        <v>1000</v>
      </c>
      <c r="F162" s="118">
        <f t="shared" si="10"/>
        <v>166.66666666666666</v>
      </c>
      <c r="G162" s="86"/>
      <c r="H162" s="189">
        <f t="shared" si="7"/>
        <v>2500</v>
      </c>
      <c r="I162" s="8"/>
      <c r="J162" s="183">
        <f t="shared" si="11"/>
        <v>2500</v>
      </c>
      <c r="K162" s="8"/>
      <c r="L162" s="8"/>
      <c r="M162" s="8"/>
      <c r="N162" s="185"/>
    </row>
    <row r="163" spans="1:14" ht="18">
      <c r="A163" s="158" t="s">
        <v>16</v>
      </c>
      <c r="B163" s="165" t="s">
        <v>17</v>
      </c>
      <c r="C163" s="125">
        <v>7450</v>
      </c>
      <c r="D163" s="124">
        <f>1000</f>
        <v>1000</v>
      </c>
      <c r="E163" s="117">
        <f t="shared" si="9"/>
        <v>-6450</v>
      </c>
      <c r="F163" s="118">
        <f t="shared" si="10"/>
        <v>13.422818791946309</v>
      </c>
      <c r="G163" s="86"/>
      <c r="H163" s="189">
        <f t="shared" si="7"/>
        <v>1000</v>
      </c>
      <c r="I163" s="8"/>
      <c r="J163" s="183">
        <f t="shared" si="11"/>
        <v>1000</v>
      </c>
      <c r="K163" s="8"/>
      <c r="L163" s="8"/>
      <c r="M163" s="8"/>
      <c r="N163" s="185"/>
    </row>
    <row r="164" spans="1:14" ht="18">
      <c r="A164" s="158" t="s">
        <v>211</v>
      </c>
      <c r="B164" s="123" t="s">
        <v>212</v>
      </c>
      <c r="C164" s="125">
        <v>650</v>
      </c>
      <c r="D164" s="124">
        <v>300</v>
      </c>
      <c r="E164" s="117">
        <f t="shared" si="9"/>
        <v>-350</v>
      </c>
      <c r="F164" s="118">
        <f t="shared" si="10"/>
        <v>46.15384615384615</v>
      </c>
      <c r="G164" s="86"/>
      <c r="H164" s="189">
        <f t="shared" si="7"/>
        <v>300</v>
      </c>
      <c r="I164" s="8"/>
      <c r="J164" s="183">
        <f t="shared" si="11"/>
        <v>300</v>
      </c>
      <c r="K164" s="8"/>
      <c r="L164" s="8"/>
      <c r="M164" s="8"/>
      <c r="N164" s="185"/>
    </row>
    <row r="165" spans="1:14" ht="18">
      <c r="A165" s="158"/>
      <c r="B165" s="123" t="s">
        <v>213</v>
      </c>
      <c r="C165" s="125"/>
      <c r="D165" s="124"/>
      <c r="E165" s="117"/>
      <c r="F165" s="118"/>
      <c r="G165" s="86"/>
      <c r="H165" s="189">
        <f t="shared" si="7"/>
        <v>0</v>
      </c>
      <c r="I165" s="8"/>
      <c r="J165" s="8"/>
      <c r="K165" s="8"/>
      <c r="L165" s="8"/>
      <c r="M165" s="8"/>
      <c r="N165" s="185"/>
    </row>
    <row r="166" spans="1:14" ht="18">
      <c r="A166" s="158" t="s">
        <v>240</v>
      </c>
      <c r="B166" s="165" t="s">
        <v>241</v>
      </c>
      <c r="C166" s="125">
        <v>100</v>
      </c>
      <c r="D166" s="124">
        <v>100</v>
      </c>
      <c r="E166" s="117">
        <f t="shared" si="9"/>
        <v>0</v>
      </c>
      <c r="F166" s="118">
        <f t="shared" si="10"/>
        <v>100</v>
      </c>
      <c r="G166" s="86"/>
      <c r="H166" s="189">
        <f t="shared" si="7"/>
        <v>100</v>
      </c>
      <c r="I166" s="8"/>
      <c r="J166" s="183">
        <f>D166</f>
        <v>100</v>
      </c>
      <c r="K166" s="8"/>
      <c r="L166" s="8"/>
      <c r="M166" s="8"/>
      <c r="N166" s="185"/>
    </row>
    <row r="167" spans="1:14" ht="18">
      <c r="A167" s="158"/>
      <c r="B167" s="165" t="s">
        <v>257</v>
      </c>
      <c r="C167" s="125"/>
      <c r="D167" s="124"/>
      <c r="E167" s="117"/>
      <c r="F167" s="118"/>
      <c r="G167" s="86"/>
      <c r="H167" s="189">
        <f t="shared" si="7"/>
        <v>0</v>
      </c>
      <c r="I167" s="8"/>
      <c r="J167" s="8"/>
      <c r="K167" s="8"/>
      <c r="L167" s="8"/>
      <c r="M167" s="8"/>
      <c r="N167" s="185"/>
    </row>
    <row r="168" spans="1:14" ht="18">
      <c r="A168" s="158" t="s">
        <v>36</v>
      </c>
      <c r="B168" s="165" t="s">
        <v>37</v>
      </c>
      <c r="C168" s="125">
        <v>1000</v>
      </c>
      <c r="D168" s="124">
        <v>500</v>
      </c>
      <c r="E168" s="117">
        <f t="shared" si="9"/>
        <v>-500</v>
      </c>
      <c r="F168" s="118">
        <f t="shared" si="10"/>
        <v>50</v>
      </c>
      <c r="G168" s="86"/>
      <c r="H168" s="189">
        <f t="shared" si="7"/>
        <v>500</v>
      </c>
      <c r="I168" s="8"/>
      <c r="J168" s="183">
        <f>D168</f>
        <v>500</v>
      </c>
      <c r="K168" s="8"/>
      <c r="L168" s="8"/>
      <c r="M168" s="8"/>
      <c r="N168" s="185"/>
    </row>
    <row r="169" spans="1:14" ht="18">
      <c r="A169" s="158" t="s">
        <v>53</v>
      </c>
      <c r="B169" s="165" t="s">
        <v>54</v>
      </c>
      <c r="C169" s="125">
        <v>6500</v>
      </c>
      <c r="D169" s="124">
        <f>6500+3500</f>
        <v>10000</v>
      </c>
      <c r="E169" s="117">
        <f t="shared" si="9"/>
        <v>3500</v>
      </c>
      <c r="F169" s="118">
        <f t="shared" si="10"/>
        <v>153.84615384615384</v>
      </c>
      <c r="G169" s="86"/>
      <c r="H169" s="189">
        <f t="shared" si="7"/>
        <v>10000</v>
      </c>
      <c r="I169" s="8"/>
      <c r="J169" s="183">
        <f>D169</f>
        <v>10000</v>
      </c>
      <c r="K169" s="8"/>
      <c r="L169" s="8"/>
      <c r="M169" s="8"/>
      <c r="N169" s="185"/>
    </row>
    <row r="170" spans="1:14" ht="18">
      <c r="A170" s="158" t="s">
        <v>223</v>
      </c>
      <c r="B170" s="165" t="s">
        <v>224</v>
      </c>
      <c r="C170" s="125">
        <v>500</v>
      </c>
      <c r="D170" s="124">
        <v>100</v>
      </c>
      <c r="E170" s="117">
        <f t="shared" si="9"/>
        <v>-400</v>
      </c>
      <c r="F170" s="118">
        <f t="shared" si="10"/>
        <v>20</v>
      </c>
      <c r="G170" s="86"/>
      <c r="H170" s="189">
        <f t="shared" si="7"/>
        <v>100</v>
      </c>
      <c r="I170" s="8"/>
      <c r="J170" s="183">
        <f>D170</f>
        <v>100</v>
      </c>
      <c r="K170" s="8"/>
      <c r="L170" s="8"/>
      <c r="M170" s="8"/>
      <c r="N170" s="185"/>
    </row>
    <row r="171" spans="1:14" ht="18">
      <c r="A171" s="158"/>
      <c r="B171" s="165" t="s">
        <v>225</v>
      </c>
      <c r="C171" s="125"/>
      <c r="D171" s="124"/>
      <c r="E171" s="117"/>
      <c r="F171" s="118"/>
      <c r="G171" s="86"/>
      <c r="H171" s="189">
        <f t="shared" si="7"/>
        <v>0</v>
      </c>
      <c r="I171" s="8"/>
      <c r="J171" s="8"/>
      <c r="K171" s="8"/>
      <c r="L171" s="8"/>
      <c r="M171" s="8"/>
      <c r="N171" s="185"/>
    </row>
    <row r="172" spans="1:14" ht="18">
      <c r="A172" s="122" t="s">
        <v>219</v>
      </c>
      <c r="B172" s="123" t="s">
        <v>220</v>
      </c>
      <c r="C172" s="125">
        <v>100</v>
      </c>
      <c r="D172" s="124">
        <v>100</v>
      </c>
      <c r="E172" s="117">
        <f t="shared" si="9"/>
        <v>0</v>
      </c>
      <c r="F172" s="118">
        <f t="shared" si="10"/>
        <v>100</v>
      </c>
      <c r="G172" s="86"/>
      <c r="H172" s="189">
        <f t="shared" si="7"/>
        <v>100</v>
      </c>
      <c r="I172" s="8"/>
      <c r="J172" s="183">
        <f>D172</f>
        <v>100</v>
      </c>
      <c r="K172" s="8"/>
      <c r="L172" s="8"/>
      <c r="M172" s="8"/>
      <c r="N172" s="185"/>
    </row>
    <row r="173" spans="1:14" ht="18">
      <c r="A173" s="122"/>
      <c r="B173" s="123" t="s">
        <v>221</v>
      </c>
      <c r="C173" s="125"/>
      <c r="D173" s="124"/>
      <c r="E173" s="117"/>
      <c r="F173" s="118"/>
      <c r="G173" s="86"/>
      <c r="H173" s="189">
        <f t="shared" si="7"/>
        <v>0</v>
      </c>
      <c r="I173" s="8"/>
      <c r="J173" s="8"/>
      <c r="K173" s="8"/>
      <c r="L173" s="8"/>
      <c r="M173" s="8"/>
      <c r="N173" s="185"/>
    </row>
    <row r="174" spans="1:14" ht="36">
      <c r="A174" s="158" t="s">
        <v>89</v>
      </c>
      <c r="B174" s="165" t="s">
        <v>98</v>
      </c>
      <c r="C174" s="125">
        <v>0</v>
      </c>
      <c r="D174" s="124">
        <v>159535</v>
      </c>
      <c r="E174" s="117">
        <f t="shared" si="9"/>
        <v>159535</v>
      </c>
      <c r="F174" s="118" t="e">
        <f t="shared" si="10"/>
        <v>#DIV/0!</v>
      </c>
      <c r="G174" s="86" t="s">
        <v>357</v>
      </c>
      <c r="H174" s="189">
        <f t="shared" si="7"/>
        <v>0</v>
      </c>
      <c r="I174" s="183"/>
      <c r="J174" s="183"/>
      <c r="K174" s="183"/>
      <c r="L174" s="183"/>
      <c r="M174" s="183"/>
      <c r="N174" s="186">
        <f>D174</f>
        <v>159535</v>
      </c>
    </row>
    <row r="175" spans="1:14" ht="18">
      <c r="A175" s="158" t="s">
        <v>73</v>
      </c>
      <c r="B175" s="165" t="s">
        <v>356</v>
      </c>
      <c r="C175" s="125">
        <v>0</v>
      </c>
      <c r="D175" s="124">
        <v>8000</v>
      </c>
      <c r="E175" s="117">
        <f t="shared" si="9"/>
        <v>8000</v>
      </c>
      <c r="F175" s="118" t="e">
        <f t="shared" si="10"/>
        <v>#DIV/0!</v>
      </c>
      <c r="G175" s="86" t="s">
        <v>364</v>
      </c>
      <c r="H175" s="189">
        <f t="shared" si="7"/>
        <v>0</v>
      </c>
      <c r="I175" s="183"/>
      <c r="J175" s="183"/>
      <c r="K175" s="183"/>
      <c r="L175" s="183"/>
      <c r="M175" s="183"/>
      <c r="N175" s="186">
        <f>D175</f>
        <v>8000</v>
      </c>
    </row>
    <row r="176" spans="1:14" ht="18">
      <c r="A176" s="158"/>
      <c r="B176" s="165"/>
      <c r="C176" s="125"/>
      <c r="D176" s="124"/>
      <c r="E176" s="117"/>
      <c r="F176" s="118"/>
      <c r="G176" s="86"/>
      <c r="H176" s="189">
        <f t="shared" si="7"/>
        <v>0</v>
      </c>
      <c r="I176" s="8"/>
      <c r="J176" s="8"/>
      <c r="K176" s="8"/>
      <c r="L176" s="8"/>
      <c r="M176" s="8"/>
      <c r="N176" s="185"/>
    </row>
    <row r="177" spans="1:14" ht="18">
      <c r="A177" s="163" t="s">
        <v>284</v>
      </c>
      <c r="B177" s="164" t="s">
        <v>285</v>
      </c>
      <c r="C177" s="129">
        <f>SUM(C178:C179)</f>
        <v>5000</v>
      </c>
      <c r="D177" s="128">
        <f>SUM(D178:D179)</f>
        <v>200</v>
      </c>
      <c r="E177" s="117">
        <f t="shared" si="9"/>
        <v>-4800</v>
      </c>
      <c r="F177" s="118">
        <f t="shared" si="10"/>
        <v>4</v>
      </c>
      <c r="G177" s="86"/>
      <c r="H177" s="189">
        <f t="shared" si="7"/>
        <v>0</v>
      </c>
      <c r="I177" s="8"/>
      <c r="J177" s="8"/>
      <c r="K177" s="8"/>
      <c r="L177" s="8"/>
      <c r="M177" s="8"/>
      <c r="N177" s="185"/>
    </row>
    <row r="178" spans="1:14" ht="18">
      <c r="A178" s="158" t="s">
        <v>34</v>
      </c>
      <c r="B178" s="165" t="s">
        <v>35</v>
      </c>
      <c r="C178" s="125">
        <v>2500</v>
      </c>
      <c r="D178" s="124">
        <v>100</v>
      </c>
      <c r="E178" s="117">
        <f t="shared" si="9"/>
        <v>-2400</v>
      </c>
      <c r="F178" s="118">
        <f t="shared" si="10"/>
        <v>4</v>
      </c>
      <c r="G178" s="86"/>
      <c r="H178" s="189">
        <f t="shared" si="7"/>
        <v>100</v>
      </c>
      <c r="I178" s="8"/>
      <c r="J178" s="183">
        <f>D178</f>
        <v>100</v>
      </c>
      <c r="K178" s="8"/>
      <c r="L178" s="8"/>
      <c r="M178" s="8"/>
      <c r="N178" s="185"/>
    </row>
    <row r="179" spans="1:14" ht="18">
      <c r="A179" s="158" t="s">
        <v>16</v>
      </c>
      <c r="B179" s="165" t="s">
        <v>17</v>
      </c>
      <c r="C179" s="125">
        <v>2500</v>
      </c>
      <c r="D179" s="124">
        <v>100</v>
      </c>
      <c r="E179" s="117">
        <f t="shared" si="9"/>
        <v>-2400</v>
      </c>
      <c r="F179" s="118">
        <f t="shared" si="10"/>
        <v>4</v>
      </c>
      <c r="G179" s="86"/>
      <c r="H179" s="189">
        <f t="shared" si="7"/>
        <v>100</v>
      </c>
      <c r="I179" s="8"/>
      <c r="J179" s="183">
        <f>D179</f>
        <v>100</v>
      </c>
      <c r="K179" s="8"/>
      <c r="L179" s="8"/>
      <c r="M179" s="8"/>
      <c r="N179" s="185"/>
    </row>
    <row r="180" spans="1:14" ht="18">
      <c r="A180" s="158"/>
      <c r="B180" s="165"/>
      <c r="C180" s="125"/>
      <c r="D180" s="124"/>
      <c r="E180" s="117"/>
      <c r="F180" s="118"/>
      <c r="G180" s="86"/>
      <c r="H180" s="189">
        <f t="shared" si="7"/>
        <v>0</v>
      </c>
      <c r="I180" s="8"/>
      <c r="J180" s="8"/>
      <c r="K180" s="8"/>
      <c r="L180" s="8"/>
      <c r="M180" s="8"/>
      <c r="N180" s="185"/>
    </row>
    <row r="181" spans="1:14" ht="18">
      <c r="A181" s="163" t="s">
        <v>286</v>
      </c>
      <c r="B181" s="164" t="s">
        <v>47</v>
      </c>
      <c r="C181" s="129">
        <f>SUM(C182:C183)</f>
        <v>5000</v>
      </c>
      <c r="D181" s="128">
        <f>SUM(D182:D183)</f>
        <v>15000</v>
      </c>
      <c r="E181" s="117">
        <f t="shared" si="9"/>
        <v>10000</v>
      </c>
      <c r="F181" s="118">
        <f t="shared" si="10"/>
        <v>300</v>
      </c>
      <c r="G181" s="86"/>
      <c r="H181" s="189">
        <f t="shared" si="7"/>
        <v>0</v>
      </c>
      <c r="I181" s="8"/>
      <c r="J181" s="8"/>
      <c r="K181" s="8"/>
      <c r="L181" s="8"/>
      <c r="M181" s="8"/>
      <c r="N181" s="185"/>
    </row>
    <row r="182" spans="1:14" ht="18">
      <c r="A182" s="158" t="s">
        <v>34</v>
      </c>
      <c r="B182" s="165" t="s">
        <v>35</v>
      </c>
      <c r="C182" s="125">
        <v>2500</v>
      </c>
      <c r="D182" s="124">
        <v>10000</v>
      </c>
      <c r="E182" s="117">
        <f t="shared" si="9"/>
        <v>7500</v>
      </c>
      <c r="F182" s="118">
        <f t="shared" si="10"/>
        <v>400</v>
      </c>
      <c r="G182" s="86"/>
      <c r="H182" s="189">
        <f t="shared" si="7"/>
        <v>10000</v>
      </c>
      <c r="I182" s="8"/>
      <c r="J182" s="183">
        <f>D182</f>
        <v>10000</v>
      </c>
      <c r="K182" s="8"/>
      <c r="L182" s="8"/>
      <c r="M182" s="8"/>
      <c r="N182" s="185"/>
    </row>
    <row r="183" spans="1:14" ht="18">
      <c r="A183" s="158" t="s">
        <v>16</v>
      </c>
      <c r="B183" s="165" t="s">
        <v>17</v>
      </c>
      <c r="C183" s="125">
        <v>2500</v>
      </c>
      <c r="D183" s="124">
        <v>5000</v>
      </c>
      <c r="E183" s="117">
        <f t="shared" si="9"/>
        <v>2500</v>
      </c>
      <c r="F183" s="118">
        <f t="shared" si="10"/>
        <v>200</v>
      </c>
      <c r="G183" s="86"/>
      <c r="H183" s="189">
        <f t="shared" si="7"/>
        <v>5000</v>
      </c>
      <c r="I183" s="8"/>
      <c r="J183" s="183">
        <f>D183</f>
        <v>5000</v>
      </c>
      <c r="K183" s="8"/>
      <c r="L183" s="8"/>
      <c r="M183" s="8"/>
      <c r="N183" s="185"/>
    </row>
    <row r="184" spans="1:14" ht="18">
      <c r="A184" s="158"/>
      <c r="B184" s="165"/>
      <c r="C184" s="125"/>
      <c r="D184" s="132"/>
      <c r="E184" s="117"/>
      <c r="F184" s="118"/>
      <c r="G184" s="86"/>
      <c r="H184" s="189">
        <f t="shared" si="7"/>
        <v>0</v>
      </c>
      <c r="I184" s="8"/>
      <c r="J184" s="8"/>
      <c r="K184" s="8"/>
      <c r="L184" s="8"/>
      <c r="M184" s="8"/>
      <c r="N184" s="185"/>
    </row>
    <row r="185" spans="1:14" ht="0.75" customHeight="1">
      <c r="A185" s="43" t="s">
        <v>88</v>
      </c>
      <c r="B185" s="50" t="s">
        <v>15</v>
      </c>
      <c r="C185" s="29">
        <f>SUM(C186:C189)</f>
        <v>0</v>
      </c>
      <c r="D185" s="18"/>
      <c r="E185" s="93">
        <f t="shared" si="9"/>
        <v>0</v>
      </c>
      <c r="F185" s="12" t="e">
        <f t="shared" si="10"/>
        <v>#DIV/0!</v>
      </c>
      <c r="G185" s="86"/>
      <c r="H185" s="189">
        <f t="shared" si="7"/>
        <v>0</v>
      </c>
      <c r="I185" s="8"/>
      <c r="J185" s="8"/>
      <c r="K185" s="8"/>
      <c r="L185" s="8"/>
      <c r="M185" s="8"/>
      <c r="N185" s="185"/>
    </row>
    <row r="186" spans="1:14" ht="18" hidden="1">
      <c r="A186" s="44" t="s">
        <v>89</v>
      </c>
      <c r="B186" s="8" t="s">
        <v>98</v>
      </c>
      <c r="C186" s="30"/>
      <c r="D186" s="14"/>
      <c r="E186" s="93">
        <f t="shared" si="9"/>
        <v>0</v>
      </c>
      <c r="F186" s="12" t="e">
        <f t="shared" si="10"/>
        <v>#DIV/0!</v>
      </c>
      <c r="G186" s="86"/>
      <c r="H186" s="189">
        <f t="shared" si="7"/>
        <v>0</v>
      </c>
      <c r="I186" s="8"/>
      <c r="J186" s="8"/>
      <c r="K186" s="8"/>
      <c r="L186" s="8"/>
      <c r="M186" s="8"/>
      <c r="N186" s="185"/>
    </row>
    <row r="187" spans="1:14" ht="18" hidden="1">
      <c r="A187" s="44" t="s">
        <v>166</v>
      </c>
      <c r="B187" s="4" t="s">
        <v>167</v>
      </c>
      <c r="C187" s="30"/>
      <c r="D187" s="14"/>
      <c r="E187" s="93">
        <f t="shared" si="9"/>
        <v>0</v>
      </c>
      <c r="F187" s="12" t="e">
        <f t="shared" si="10"/>
        <v>#DIV/0!</v>
      </c>
      <c r="G187" s="86"/>
      <c r="H187" s="189">
        <f t="shared" si="7"/>
        <v>0</v>
      </c>
      <c r="I187" s="8"/>
      <c r="J187" s="8"/>
      <c r="K187" s="8"/>
      <c r="L187" s="8"/>
      <c r="M187" s="8"/>
      <c r="N187" s="185"/>
    </row>
    <row r="188" spans="1:14" ht="18" hidden="1">
      <c r="A188" s="44"/>
      <c r="B188" s="4" t="s">
        <v>168</v>
      </c>
      <c r="C188" s="30"/>
      <c r="D188" s="14"/>
      <c r="E188" s="93">
        <f t="shared" si="9"/>
        <v>0</v>
      </c>
      <c r="F188" s="12" t="e">
        <f t="shared" si="10"/>
        <v>#DIV/0!</v>
      </c>
      <c r="G188" s="86"/>
      <c r="H188" s="189">
        <f t="shared" si="7"/>
        <v>0</v>
      </c>
      <c r="I188" s="8"/>
      <c r="J188" s="8"/>
      <c r="K188" s="8"/>
      <c r="L188" s="8"/>
      <c r="M188" s="8"/>
      <c r="N188" s="185"/>
    </row>
    <row r="189" spans="1:14" ht="18" hidden="1">
      <c r="A189" s="45"/>
      <c r="B189" s="6" t="s">
        <v>169</v>
      </c>
      <c r="C189" s="31"/>
      <c r="D189" s="21"/>
      <c r="E189" s="93">
        <f t="shared" si="9"/>
        <v>0</v>
      </c>
      <c r="F189" s="12" t="e">
        <f t="shared" si="10"/>
        <v>#DIV/0!</v>
      </c>
      <c r="G189" s="86"/>
      <c r="H189" s="189">
        <f t="shared" si="7"/>
        <v>0</v>
      </c>
      <c r="I189" s="8"/>
      <c r="J189" s="8"/>
      <c r="K189" s="8"/>
      <c r="L189" s="8"/>
      <c r="M189" s="8"/>
      <c r="N189" s="185"/>
    </row>
    <row r="190" spans="1:14" ht="18">
      <c r="A190" s="134" t="s">
        <v>173</v>
      </c>
      <c r="B190" s="135" t="s">
        <v>176</v>
      </c>
      <c r="C190" s="138">
        <f>SUM(C192)</f>
        <v>41170</v>
      </c>
      <c r="D190" s="136">
        <f>SUM(D192)</f>
        <v>42500</v>
      </c>
      <c r="E190" s="117">
        <f t="shared" si="9"/>
        <v>1330</v>
      </c>
      <c r="F190" s="118">
        <f t="shared" si="10"/>
        <v>103.23050765120233</v>
      </c>
      <c r="G190" s="86"/>
      <c r="H190" s="189">
        <f t="shared" si="7"/>
        <v>0</v>
      </c>
      <c r="I190" s="8"/>
      <c r="J190" s="8"/>
      <c r="K190" s="8"/>
      <c r="L190" s="8"/>
      <c r="M190" s="8"/>
      <c r="N190" s="185"/>
    </row>
    <row r="191" spans="1:14" ht="18">
      <c r="A191" s="122"/>
      <c r="B191" s="123"/>
      <c r="C191" s="125"/>
      <c r="D191" s="124"/>
      <c r="E191" s="117"/>
      <c r="F191" s="118"/>
      <c r="G191" s="86"/>
      <c r="H191" s="189">
        <f t="shared" si="7"/>
        <v>0</v>
      </c>
      <c r="I191" s="8"/>
      <c r="J191" s="8"/>
      <c r="K191" s="8"/>
      <c r="L191" s="8"/>
      <c r="M191" s="8"/>
      <c r="N191" s="185"/>
    </row>
    <row r="192" spans="1:14" ht="36">
      <c r="A192" s="126" t="s">
        <v>174</v>
      </c>
      <c r="B192" s="181" t="s">
        <v>175</v>
      </c>
      <c r="C192" s="129">
        <f>SUM(C193:C194)</f>
        <v>41170</v>
      </c>
      <c r="D192" s="128">
        <f>SUM(D193:D194)</f>
        <v>42500</v>
      </c>
      <c r="E192" s="117">
        <f t="shared" si="9"/>
        <v>1330</v>
      </c>
      <c r="F192" s="118">
        <f t="shared" si="10"/>
        <v>103.23050765120233</v>
      </c>
      <c r="G192" s="86"/>
      <c r="H192" s="189">
        <f t="shared" si="7"/>
        <v>0</v>
      </c>
      <c r="I192" s="8"/>
      <c r="J192" s="8"/>
      <c r="K192" s="8"/>
      <c r="L192" s="8"/>
      <c r="M192" s="8"/>
      <c r="N192" s="185"/>
    </row>
    <row r="193" spans="1:14" ht="18">
      <c r="A193" s="122" t="s">
        <v>62</v>
      </c>
      <c r="B193" s="123" t="s">
        <v>63</v>
      </c>
      <c r="C193" s="125">
        <v>39670</v>
      </c>
      <c r="D193" s="124">
        <v>41000</v>
      </c>
      <c r="E193" s="117">
        <f t="shared" si="9"/>
        <v>1330</v>
      </c>
      <c r="F193" s="118">
        <f t="shared" si="10"/>
        <v>103.35265944038316</v>
      </c>
      <c r="G193" s="86"/>
      <c r="H193" s="189">
        <f t="shared" si="7"/>
        <v>41000</v>
      </c>
      <c r="I193" s="8"/>
      <c r="J193" s="8"/>
      <c r="K193" s="8"/>
      <c r="L193" s="183">
        <f>D193</f>
        <v>41000</v>
      </c>
      <c r="M193" s="8"/>
      <c r="N193" s="185"/>
    </row>
    <row r="194" spans="1:14" ht="18">
      <c r="A194" s="122" t="s">
        <v>53</v>
      </c>
      <c r="B194" s="123" t="s">
        <v>54</v>
      </c>
      <c r="C194" s="125">
        <v>1500</v>
      </c>
      <c r="D194" s="124">
        <v>1500</v>
      </c>
      <c r="E194" s="117">
        <f t="shared" si="9"/>
        <v>0</v>
      </c>
      <c r="F194" s="118">
        <f t="shared" si="10"/>
        <v>100</v>
      </c>
      <c r="G194" s="86"/>
      <c r="H194" s="189">
        <f t="shared" si="7"/>
        <v>1500</v>
      </c>
      <c r="I194" s="8"/>
      <c r="J194" s="183">
        <f>D194</f>
        <v>1500</v>
      </c>
      <c r="K194" s="8"/>
      <c r="L194" s="8"/>
      <c r="M194" s="8"/>
      <c r="N194" s="185"/>
    </row>
    <row r="195" spans="1:14" ht="18">
      <c r="A195" s="130"/>
      <c r="B195" s="131"/>
      <c r="C195" s="133"/>
      <c r="D195" s="132"/>
      <c r="E195" s="117"/>
      <c r="F195" s="118"/>
      <c r="G195" s="86"/>
      <c r="H195" s="189">
        <f t="shared" si="7"/>
        <v>0</v>
      </c>
      <c r="I195" s="8"/>
      <c r="J195" s="8"/>
      <c r="K195" s="8"/>
      <c r="L195" s="8"/>
      <c r="M195" s="8"/>
      <c r="N195" s="185"/>
    </row>
    <row r="196" spans="1:14" ht="18">
      <c r="A196" s="134" t="s">
        <v>197</v>
      </c>
      <c r="B196" s="135" t="s">
        <v>198</v>
      </c>
      <c r="C196" s="138">
        <f>SUM(C198)</f>
        <v>50000</v>
      </c>
      <c r="D196" s="136">
        <f>SUM(D198)</f>
        <v>50000</v>
      </c>
      <c r="E196" s="117">
        <f t="shared" si="9"/>
        <v>0</v>
      </c>
      <c r="F196" s="118">
        <f t="shared" si="10"/>
        <v>100</v>
      </c>
      <c r="G196" s="86"/>
      <c r="H196" s="189">
        <f t="shared" si="7"/>
        <v>0</v>
      </c>
      <c r="I196" s="8"/>
      <c r="J196" s="8"/>
      <c r="K196" s="8"/>
      <c r="L196" s="8"/>
      <c r="M196" s="8"/>
      <c r="N196" s="185"/>
    </row>
    <row r="197" spans="1:14" ht="18">
      <c r="A197" s="122"/>
      <c r="B197" s="123"/>
      <c r="C197" s="125"/>
      <c r="D197" s="124"/>
      <c r="E197" s="117"/>
      <c r="F197" s="118"/>
      <c r="G197" s="86"/>
      <c r="H197" s="189">
        <f t="shared" si="7"/>
        <v>0</v>
      </c>
      <c r="I197" s="8"/>
      <c r="J197" s="8"/>
      <c r="K197" s="8"/>
      <c r="L197" s="8"/>
      <c r="M197" s="8"/>
      <c r="N197" s="185"/>
    </row>
    <row r="198" spans="1:14" ht="18">
      <c r="A198" s="126" t="s">
        <v>199</v>
      </c>
      <c r="B198" s="127" t="s">
        <v>201</v>
      </c>
      <c r="C198" s="129">
        <f>SUM(C200:C201)</f>
        <v>50000</v>
      </c>
      <c r="D198" s="128">
        <f>SUM(D200:D201)</f>
        <v>50000</v>
      </c>
      <c r="E198" s="117">
        <f t="shared" si="9"/>
        <v>0</v>
      </c>
      <c r="F198" s="118">
        <f t="shared" si="10"/>
        <v>100</v>
      </c>
      <c r="G198" s="86"/>
      <c r="H198" s="189">
        <f t="shared" si="7"/>
        <v>0</v>
      </c>
      <c r="I198" s="8"/>
      <c r="J198" s="8"/>
      <c r="K198" s="8"/>
      <c r="L198" s="8"/>
      <c r="M198" s="8"/>
      <c r="N198" s="185"/>
    </row>
    <row r="199" spans="1:14" ht="18">
      <c r="A199" s="126"/>
      <c r="B199" s="127" t="s">
        <v>200</v>
      </c>
      <c r="C199" s="129"/>
      <c r="D199" s="128"/>
      <c r="E199" s="117"/>
      <c r="F199" s="118"/>
      <c r="G199" s="86"/>
      <c r="H199" s="189">
        <f aca="true" t="shared" si="12" ref="H199:H262">SUM(I199:M199)</f>
        <v>0</v>
      </c>
      <c r="I199" s="8"/>
      <c r="J199" s="8"/>
      <c r="K199" s="8"/>
      <c r="L199" s="8"/>
      <c r="M199" s="8"/>
      <c r="N199" s="185"/>
    </row>
    <row r="200" spans="1:14" ht="18">
      <c r="A200" s="122" t="s">
        <v>266</v>
      </c>
      <c r="B200" s="123" t="s">
        <v>267</v>
      </c>
      <c r="C200" s="125">
        <v>50000</v>
      </c>
      <c r="D200" s="124">
        <v>50000</v>
      </c>
      <c r="E200" s="117">
        <f t="shared" si="9"/>
        <v>0</v>
      </c>
      <c r="F200" s="118">
        <f t="shared" si="10"/>
        <v>100</v>
      </c>
      <c r="G200" s="86"/>
      <c r="H200" s="189">
        <f t="shared" si="12"/>
        <v>50000</v>
      </c>
      <c r="I200" s="8"/>
      <c r="J200" s="8"/>
      <c r="K200" s="8"/>
      <c r="L200" s="8"/>
      <c r="M200" s="183">
        <f>D200</f>
        <v>50000</v>
      </c>
      <c r="N200" s="185"/>
    </row>
    <row r="201" spans="1:14" ht="18">
      <c r="A201" s="122"/>
      <c r="B201" s="123" t="s">
        <v>268</v>
      </c>
      <c r="C201" s="125"/>
      <c r="D201" s="124"/>
      <c r="E201" s="117"/>
      <c r="F201" s="118"/>
      <c r="G201" s="86"/>
      <c r="H201" s="189">
        <f t="shared" si="12"/>
        <v>0</v>
      </c>
      <c r="I201" s="8"/>
      <c r="J201" s="8"/>
      <c r="K201" s="8"/>
      <c r="L201" s="8"/>
      <c r="M201" s="8"/>
      <c r="N201" s="185"/>
    </row>
    <row r="202" spans="1:14" ht="18">
      <c r="A202" s="130"/>
      <c r="B202" s="131"/>
      <c r="C202" s="133"/>
      <c r="D202" s="132"/>
      <c r="E202" s="117"/>
      <c r="F202" s="118"/>
      <c r="G202" s="86"/>
      <c r="H202" s="189">
        <f t="shared" si="12"/>
        <v>0</v>
      </c>
      <c r="I202" s="8"/>
      <c r="J202" s="8"/>
      <c r="K202" s="8"/>
      <c r="L202" s="8"/>
      <c r="M202" s="8"/>
      <c r="N202" s="185"/>
    </row>
    <row r="203" spans="1:14" ht="18">
      <c r="A203" s="95" t="s">
        <v>90</v>
      </c>
      <c r="B203" s="96" t="s">
        <v>91</v>
      </c>
      <c r="C203" s="98">
        <f>SUM(C205)</f>
        <v>100000</v>
      </c>
      <c r="D203" s="97">
        <f>SUM(D205)</f>
        <v>105000</v>
      </c>
      <c r="E203" s="93">
        <f t="shared" si="9"/>
        <v>5000</v>
      </c>
      <c r="F203" s="12">
        <f t="shared" si="10"/>
        <v>105</v>
      </c>
      <c r="G203" s="86"/>
      <c r="H203" s="189">
        <f t="shared" si="12"/>
        <v>0</v>
      </c>
      <c r="I203" s="8"/>
      <c r="J203" s="8"/>
      <c r="K203" s="8"/>
      <c r="L203" s="8"/>
      <c r="M203" s="8"/>
      <c r="N203" s="185"/>
    </row>
    <row r="204" spans="1:14" ht="18">
      <c r="A204" s="83"/>
      <c r="B204" s="84"/>
      <c r="C204" s="94"/>
      <c r="D204" s="85"/>
      <c r="E204" s="93"/>
      <c r="F204" s="12"/>
      <c r="G204" s="86"/>
      <c r="H204" s="189">
        <f t="shared" si="12"/>
        <v>0</v>
      </c>
      <c r="I204" s="8"/>
      <c r="J204" s="8"/>
      <c r="K204" s="8"/>
      <c r="L204" s="8"/>
      <c r="M204" s="8"/>
      <c r="N204" s="185"/>
    </row>
    <row r="205" spans="1:14" ht="18">
      <c r="A205" s="95" t="s">
        <v>92</v>
      </c>
      <c r="B205" s="96" t="s">
        <v>93</v>
      </c>
      <c r="C205" s="98">
        <f>SUM(C206:C207)</f>
        <v>100000</v>
      </c>
      <c r="D205" s="97">
        <f>SUM(D206:D207)</f>
        <v>105000</v>
      </c>
      <c r="E205" s="93">
        <f t="shared" si="9"/>
        <v>5000</v>
      </c>
      <c r="F205" s="12">
        <f t="shared" si="10"/>
        <v>105</v>
      </c>
      <c r="G205" s="86"/>
      <c r="H205" s="189">
        <f t="shared" si="12"/>
        <v>0</v>
      </c>
      <c r="I205" s="8"/>
      <c r="J205" s="8"/>
      <c r="K205" s="8"/>
      <c r="L205" s="8"/>
      <c r="M205" s="8"/>
      <c r="N205" s="185"/>
    </row>
    <row r="206" spans="1:14" ht="18">
      <c r="A206" s="83" t="s">
        <v>94</v>
      </c>
      <c r="B206" s="84" t="s">
        <v>95</v>
      </c>
      <c r="C206" s="94">
        <v>100000</v>
      </c>
      <c r="D206" s="85">
        <v>105000</v>
      </c>
      <c r="E206" s="93">
        <f t="shared" si="9"/>
        <v>5000</v>
      </c>
      <c r="F206" s="12">
        <f t="shared" si="10"/>
        <v>105</v>
      </c>
      <c r="G206" s="86" t="s">
        <v>367</v>
      </c>
      <c r="H206" s="189">
        <f t="shared" si="12"/>
        <v>105000</v>
      </c>
      <c r="I206" s="8"/>
      <c r="J206" s="183">
        <f>D206</f>
        <v>105000</v>
      </c>
      <c r="K206" s="8"/>
      <c r="L206" s="8"/>
      <c r="M206" s="8"/>
      <c r="N206" s="185"/>
    </row>
    <row r="207" spans="1:14" ht="18">
      <c r="A207" s="83"/>
      <c r="B207" s="84"/>
      <c r="C207" s="94">
        <v>0</v>
      </c>
      <c r="D207" s="85"/>
      <c r="E207" s="93"/>
      <c r="F207" s="12"/>
      <c r="G207" s="86"/>
      <c r="H207" s="189">
        <f t="shared" si="12"/>
        <v>0</v>
      </c>
      <c r="I207" s="8"/>
      <c r="J207" s="8"/>
      <c r="K207" s="8"/>
      <c r="L207" s="8"/>
      <c r="M207" s="8"/>
      <c r="N207" s="185"/>
    </row>
    <row r="208" spans="1:14" ht="18">
      <c r="A208" s="134" t="s">
        <v>96</v>
      </c>
      <c r="B208" s="135" t="s">
        <v>97</v>
      </c>
      <c r="C208" s="138">
        <f>C210+C241+C264+C293+C299+C328+C334+C325</f>
        <v>6326600</v>
      </c>
      <c r="D208" s="136">
        <f>D210+D241+D264+D293+D299+D328+D334+D325</f>
        <v>6941301</v>
      </c>
      <c r="E208" s="117">
        <f t="shared" si="9"/>
        <v>614701</v>
      </c>
      <c r="F208" s="118">
        <f t="shared" si="10"/>
        <v>109.7161350488414</v>
      </c>
      <c r="G208" s="86"/>
      <c r="H208" s="189">
        <f t="shared" si="12"/>
        <v>0</v>
      </c>
      <c r="I208" s="8"/>
      <c r="J208" s="8"/>
      <c r="K208" s="8"/>
      <c r="L208" s="8"/>
      <c r="M208" s="8"/>
      <c r="N208" s="185"/>
    </row>
    <row r="209" spans="1:14" ht="20.25" customHeight="1">
      <c r="A209" s="126"/>
      <c r="B209" s="127"/>
      <c r="C209" s="129"/>
      <c r="D209" s="128"/>
      <c r="E209" s="117"/>
      <c r="F209" s="118"/>
      <c r="G209" s="86"/>
      <c r="H209" s="189">
        <f t="shared" si="12"/>
        <v>0</v>
      </c>
      <c r="I209" s="8"/>
      <c r="J209" s="8"/>
      <c r="K209" s="8"/>
      <c r="L209" s="8"/>
      <c r="M209" s="8"/>
      <c r="N209" s="185"/>
    </row>
    <row r="210" spans="1:14" ht="20.25" customHeight="1">
      <c r="A210" s="126" t="s">
        <v>164</v>
      </c>
      <c r="B210" s="127" t="s">
        <v>165</v>
      </c>
      <c r="C210" s="129">
        <f>SUM(C211:C238)</f>
        <v>3665100</v>
      </c>
      <c r="D210" s="128">
        <f>SUM(D211:D238)</f>
        <v>4251900</v>
      </c>
      <c r="E210" s="117">
        <f t="shared" si="9"/>
        <v>586800</v>
      </c>
      <c r="F210" s="118">
        <f t="shared" si="10"/>
        <v>116.01047720389622</v>
      </c>
      <c r="G210" s="86"/>
      <c r="H210" s="189">
        <f t="shared" si="12"/>
        <v>0</v>
      </c>
      <c r="I210" s="8"/>
      <c r="J210" s="8"/>
      <c r="K210" s="8"/>
      <c r="L210" s="8"/>
      <c r="M210" s="8"/>
      <c r="N210" s="185"/>
    </row>
    <row r="211" spans="1:14" ht="20.25" customHeight="1">
      <c r="A211" s="155" t="s">
        <v>231</v>
      </c>
      <c r="B211" s="156" t="s">
        <v>293</v>
      </c>
      <c r="C211" s="180">
        <f>5300+148300+5000</f>
        <v>158600</v>
      </c>
      <c r="D211" s="157">
        <f>5000+133200+5000</f>
        <v>143200</v>
      </c>
      <c r="E211" s="117">
        <f aca="true" t="shared" si="13" ref="E211:E274">D211-C211</f>
        <v>-15400</v>
      </c>
      <c r="F211" s="118">
        <f aca="true" t="shared" si="14" ref="F211:F275">D211*100/C211</f>
        <v>90.29003783102144</v>
      </c>
      <c r="G211" s="86"/>
      <c r="H211" s="189">
        <f t="shared" si="12"/>
        <v>143200</v>
      </c>
      <c r="I211" s="8"/>
      <c r="J211" s="8"/>
      <c r="K211" s="8"/>
      <c r="L211" s="183">
        <f>D211</f>
        <v>143200</v>
      </c>
      <c r="M211" s="8"/>
      <c r="N211" s="185"/>
    </row>
    <row r="212" spans="1:14" ht="20.25" customHeight="1">
      <c r="A212" s="155"/>
      <c r="B212" s="156"/>
      <c r="C212" s="180"/>
      <c r="D212" s="157"/>
      <c r="E212" s="117"/>
      <c r="F212" s="118"/>
      <c r="G212" s="86"/>
      <c r="H212" s="189">
        <f t="shared" si="12"/>
        <v>0</v>
      </c>
      <c r="I212" s="8"/>
      <c r="J212" s="8"/>
      <c r="K212" s="8"/>
      <c r="L212" s="8"/>
      <c r="M212" s="8"/>
      <c r="N212" s="185"/>
    </row>
    <row r="213" spans="1:14" ht="20.25" customHeight="1">
      <c r="A213" s="122" t="s">
        <v>22</v>
      </c>
      <c r="B213" s="123" t="s">
        <v>66</v>
      </c>
      <c r="C213" s="125">
        <f>2060100+20400+40300</f>
        <v>2120800</v>
      </c>
      <c r="D213" s="124">
        <f>2083000+20800+215800</f>
        <v>2319600</v>
      </c>
      <c r="E213" s="117">
        <f t="shared" si="13"/>
        <v>198800</v>
      </c>
      <c r="F213" s="118">
        <f t="shared" si="14"/>
        <v>109.37382119954734</v>
      </c>
      <c r="G213" s="86"/>
      <c r="H213" s="189">
        <f t="shared" si="12"/>
        <v>2319600</v>
      </c>
      <c r="I213" s="183">
        <f>D213</f>
        <v>2319600</v>
      </c>
      <c r="J213" s="8"/>
      <c r="K213" s="8"/>
      <c r="L213" s="8"/>
      <c r="M213" s="8"/>
      <c r="N213" s="185"/>
    </row>
    <row r="214" spans="1:14" ht="20.25" customHeight="1">
      <c r="A214" s="122" t="s">
        <v>24</v>
      </c>
      <c r="B214" s="123" t="s">
        <v>67</v>
      </c>
      <c r="C214" s="125">
        <v>160300</v>
      </c>
      <c r="D214" s="124">
        <v>161100</v>
      </c>
      <c r="E214" s="117">
        <f t="shared" si="13"/>
        <v>800</v>
      </c>
      <c r="F214" s="118">
        <f t="shared" si="14"/>
        <v>100.49906425452276</v>
      </c>
      <c r="G214" s="86"/>
      <c r="H214" s="189">
        <f t="shared" si="12"/>
        <v>161100</v>
      </c>
      <c r="I214" s="183">
        <f>D214</f>
        <v>161100</v>
      </c>
      <c r="J214" s="8"/>
      <c r="K214" s="8"/>
      <c r="L214" s="8"/>
      <c r="M214" s="8"/>
      <c r="N214" s="185"/>
    </row>
    <row r="215" spans="1:14" ht="20.25" customHeight="1">
      <c r="A215" s="122" t="s">
        <v>26</v>
      </c>
      <c r="B215" s="123" t="s">
        <v>27</v>
      </c>
      <c r="C215" s="125">
        <v>365600</v>
      </c>
      <c r="D215" s="124">
        <v>369900</v>
      </c>
      <c r="E215" s="117">
        <f t="shared" si="13"/>
        <v>4300</v>
      </c>
      <c r="F215" s="118">
        <f t="shared" si="14"/>
        <v>101.17614879649891</v>
      </c>
      <c r="G215" s="86"/>
      <c r="H215" s="189">
        <f t="shared" si="12"/>
        <v>369900</v>
      </c>
      <c r="I215" s="183">
        <f>D215</f>
        <v>369900</v>
      </c>
      <c r="J215" s="8"/>
      <c r="K215" s="8"/>
      <c r="L215" s="8"/>
      <c r="M215" s="8"/>
      <c r="N215" s="185"/>
    </row>
    <row r="216" spans="1:14" ht="20.25" customHeight="1">
      <c r="A216" s="122" t="s">
        <v>28</v>
      </c>
      <c r="B216" s="123" t="s">
        <v>29</v>
      </c>
      <c r="C216" s="125">
        <v>58700</v>
      </c>
      <c r="D216" s="124">
        <v>60000</v>
      </c>
      <c r="E216" s="117">
        <f t="shared" si="13"/>
        <v>1300</v>
      </c>
      <c r="F216" s="118">
        <f t="shared" si="14"/>
        <v>102.21465076660988</v>
      </c>
      <c r="G216" s="86"/>
      <c r="H216" s="189">
        <f t="shared" si="12"/>
        <v>60000</v>
      </c>
      <c r="I216" s="183">
        <f>D216</f>
        <v>60000</v>
      </c>
      <c r="J216" s="8"/>
      <c r="K216" s="8"/>
      <c r="L216" s="8"/>
      <c r="M216" s="8"/>
      <c r="N216" s="185"/>
    </row>
    <row r="217" spans="1:14" ht="20.25" customHeight="1">
      <c r="A217" s="122" t="s">
        <v>30</v>
      </c>
      <c r="B217" s="123" t="s">
        <v>59</v>
      </c>
      <c r="C217" s="125">
        <v>0</v>
      </c>
      <c r="D217" s="124">
        <v>0</v>
      </c>
      <c r="E217" s="117">
        <f t="shared" si="13"/>
        <v>0</v>
      </c>
      <c r="F217" s="118" t="e">
        <f t="shared" si="14"/>
        <v>#DIV/0!</v>
      </c>
      <c r="G217" s="86"/>
      <c r="H217" s="189">
        <f t="shared" si="12"/>
        <v>0</v>
      </c>
      <c r="I217" s="8"/>
      <c r="J217" s="183">
        <f>D217</f>
        <v>0</v>
      </c>
      <c r="K217" s="8"/>
      <c r="L217" s="8"/>
      <c r="M217" s="8"/>
      <c r="N217" s="185"/>
    </row>
    <row r="218" spans="1:14" ht="20.25" customHeight="1">
      <c r="A218" s="122" t="s">
        <v>32</v>
      </c>
      <c r="B218" s="123" t="s">
        <v>33</v>
      </c>
      <c r="C218" s="125">
        <v>11000</v>
      </c>
      <c r="D218" s="124">
        <v>100</v>
      </c>
      <c r="E218" s="117">
        <f t="shared" si="13"/>
        <v>-10900</v>
      </c>
      <c r="F218" s="118">
        <f t="shared" si="14"/>
        <v>0.9090909090909091</v>
      </c>
      <c r="G218" s="86"/>
      <c r="H218" s="189">
        <f t="shared" si="12"/>
        <v>100</v>
      </c>
      <c r="I218" s="183">
        <f>D218</f>
        <v>100</v>
      </c>
      <c r="J218" s="8"/>
      <c r="K218" s="8"/>
      <c r="L218" s="8"/>
      <c r="M218" s="8"/>
      <c r="N218" s="185"/>
    </row>
    <row r="219" spans="1:14" ht="20.25" customHeight="1">
      <c r="A219" s="122" t="s">
        <v>34</v>
      </c>
      <c r="B219" s="123" t="s">
        <v>35</v>
      </c>
      <c r="C219" s="125">
        <v>128900</v>
      </c>
      <c r="D219" s="124">
        <v>107300</v>
      </c>
      <c r="E219" s="117">
        <f t="shared" si="13"/>
        <v>-21600</v>
      </c>
      <c r="F219" s="118">
        <f t="shared" si="14"/>
        <v>83.24282389449185</v>
      </c>
      <c r="G219" s="86"/>
      <c r="H219" s="189">
        <f t="shared" si="12"/>
        <v>107300</v>
      </c>
      <c r="I219" s="8"/>
      <c r="J219" s="183">
        <f aca="true" t="shared" si="15" ref="J219:J226">D219</f>
        <v>107300</v>
      </c>
      <c r="K219" s="8"/>
      <c r="L219" s="8"/>
      <c r="M219" s="8"/>
      <c r="N219" s="185"/>
    </row>
    <row r="220" spans="1:14" ht="20.25" customHeight="1">
      <c r="A220" s="122" t="s">
        <v>245</v>
      </c>
      <c r="B220" s="123" t="s">
        <v>294</v>
      </c>
      <c r="C220" s="125">
        <v>12200</v>
      </c>
      <c r="D220" s="124">
        <v>200</v>
      </c>
      <c r="E220" s="117">
        <f t="shared" si="13"/>
        <v>-12000</v>
      </c>
      <c r="F220" s="118">
        <f t="shared" si="14"/>
        <v>1.639344262295082</v>
      </c>
      <c r="G220" s="86"/>
      <c r="H220" s="189">
        <f t="shared" si="12"/>
        <v>200</v>
      </c>
      <c r="I220" s="8"/>
      <c r="J220" s="183">
        <f t="shared" si="15"/>
        <v>200</v>
      </c>
      <c r="K220" s="8"/>
      <c r="L220" s="8"/>
      <c r="M220" s="8"/>
      <c r="N220" s="185"/>
    </row>
    <row r="221" spans="1:14" ht="20.25" customHeight="1">
      <c r="A221" s="122" t="s">
        <v>68</v>
      </c>
      <c r="B221" s="123" t="s">
        <v>69</v>
      </c>
      <c r="C221" s="125">
        <f>32600+108500</f>
        <v>141100</v>
      </c>
      <c r="D221" s="124">
        <v>108500</v>
      </c>
      <c r="E221" s="117">
        <f t="shared" si="13"/>
        <v>-32600</v>
      </c>
      <c r="F221" s="118">
        <f t="shared" si="14"/>
        <v>76.8958185683912</v>
      </c>
      <c r="G221" s="86"/>
      <c r="H221" s="189">
        <f t="shared" si="12"/>
        <v>108500</v>
      </c>
      <c r="I221" s="8"/>
      <c r="J221" s="183">
        <f t="shared" si="15"/>
        <v>108500</v>
      </c>
      <c r="K221" s="8"/>
      <c r="L221" s="8"/>
      <c r="M221" s="8"/>
      <c r="N221" s="185"/>
    </row>
    <row r="222" spans="1:14" ht="20.25" customHeight="1">
      <c r="A222" s="122" t="s">
        <v>44</v>
      </c>
      <c r="B222" s="123" t="s">
        <v>45</v>
      </c>
      <c r="C222" s="125">
        <f>2000+22000</f>
        <v>24000</v>
      </c>
      <c r="D222" s="124">
        <v>100</v>
      </c>
      <c r="E222" s="117">
        <f t="shared" si="13"/>
        <v>-23900</v>
      </c>
      <c r="F222" s="118">
        <f t="shared" si="14"/>
        <v>0.4166666666666667</v>
      </c>
      <c r="G222" s="86"/>
      <c r="H222" s="189">
        <f t="shared" si="12"/>
        <v>100</v>
      </c>
      <c r="I222" s="8"/>
      <c r="J222" s="183">
        <f t="shared" si="15"/>
        <v>100</v>
      </c>
      <c r="K222" s="8"/>
      <c r="L222" s="8"/>
      <c r="M222" s="8"/>
      <c r="N222" s="185"/>
    </row>
    <row r="223" spans="1:14" ht="20.25" customHeight="1">
      <c r="A223" s="122" t="s">
        <v>70</v>
      </c>
      <c r="B223" s="123" t="s">
        <v>71</v>
      </c>
      <c r="C223" s="125">
        <v>6700</v>
      </c>
      <c r="D223" s="124">
        <v>6700</v>
      </c>
      <c r="E223" s="117">
        <f t="shared" si="13"/>
        <v>0</v>
      </c>
      <c r="F223" s="118">
        <f t="shared" si="14"/>
        <v>100</v>
      </c>
      <c r="G223" s="86"/>
      <c r="H223" s="189">
        <f t="shared" si="12"/>
        <v>6700</v>
      </c>
      <c r="I223" s="8"/>
      <c r="J223" s="183">
        <f t="shared" si="15"/>
        <v>6700</v>
      </c>
      <c r="K223" s="8"/>
      <c r="L223" s="8"/>
      <c r="M223" s="8"/>
      <c r="N223" s="185"/>
    </row>
    <row r="224" spans="1:14" ht="20.25" customHeight="1">
      <c r="A224" s="122" t="s">
        <v>16</v>
      </c>
      <c r="B224" s="123" t="s">
        <v>17</v>
      </c>
      <c r="C224" s="125">
        <v>41000</v>
      </c>
      <c r="D224" s="124">
        <v>45000</v>
      </c>
      <c r="E224" s="117">
        <f t="shared" si="13"/>
        <v>4000</v>
      </c>
      <c r="F224" s="118">
        <f t="shared" si="14"/>
        <v>109.7560975609756</v>
      </c>
      <c r="G224" s="86"/>
      <c r="H224" s="189">
        <f t="shared" si="12"/>
        <v>45000</v>
      </c>
      <c r="I224" s="8"/>
      <c r="J224" s="183">
        <f t="shared" si="15"/>
        <v>45000</v>
      </c>
      <c r="K224" s="8"/>
      <c r="L224" s="8"/>
      <c r="M224" s="8"/>
      <c r="N224" s="185"/>
    </row>
    <row r="225" spans="1:14" ht="20.25" customHeight="1">
      <c r="A225" s="122" t="s">
        <v>177</v>
      </c>
      <c r="B225" s="123" t="s">
        <v>178</v>
      </c>
      <c r="C225" s="125">
        <v>100</v>
      </c>
      <c r="D225" s="124">
        <v>0</v>
      </c>
      <c r="E225" s="117">
        <f t="shared" si="13"/>
        <v>-100</v>
      </c>
      <c r="F225" s="118">
        <f t="shared" si="14"/>
        <v>0</v>
      </c>
      <c r="G225" s="86"/>
      <c r="H225" s="189">
        <f t="shared" si="12"/>
        <v>0</v>
      </c>
      <c r="I225" s="8"/>
      <c r="J225" s="183">
        <f t="shared" si="15"/>
        <v>0</v>
      </c>
      <c r="K225" s="8"/>
      <c r="L225" s="8"/>
      <c r="M225" s="8"/>
      <c r="N225" s="185"/>
    </row>
    <row r="226" spans="1:14" ht="20.25" customHeight="1">
      <c r="A226" s="122" t="s">
        <v>214</v>
      </c>
      <c r="B226" s="123" t="s">
        <v>212</v>
      </c>
      <c r="C226" s="125">
        <v>9000</v>
      </c>
      <c r="D226" s="124">
        <v>7000</v>
      </c>
      <c r="E226" s="117">
        <f t="shared" si="13"/>
        <v>-2000</v>
      </c>
      <c r="F226" s="118">
        <f t="shared" si="14"/>
        <v>77.77777777777777</v>
      </c>
      <c r="G226" s="86"/>
      <c r="H226" s="189">
        <f t="shared" si="12"/>
        <v>7000</v>
      </c>
      <c r="I226" s="8"/>
      <c r="J226" s="183">
        <f t="shared" si="15"/>
        <v>7000</v>
      </c>
      <c r="K226" s="8"/>
      <c r="L226" s="8"/>
      <c r="M226" s="8"/>
      <c r="N226" s="185"/>
    </row>
    <row r="227" spans="1:14" ht="20.25" customHeight="1">
      <c r="A227" s="122"/>
      <c r="B227" s="123" t="s">
        <v>215</v>
      </c>
      <c r="C227" s="125"/>
      <c r="D227" s="124"/>
      <c r="E227" s="117"/>
      <c r="F227" s="118"/>
      <c r="G227" s="86"/>
      <c r="H227" s="189">
        <f t="shared" si="12"/>
        <v>0</v>
      </c>
      <c r="I227" s="8"/>
      <c r="J227" s="8"/>
      <c r="K227" s="8"/>
      <c r="L227" s="8"/>
      <c r="M227" s="8"/>
      <c r="N227" s="185"/>
    </row>
    <row r="228" spans="1:14" ht="20.25" customHeight="1">
      <c r="A228" s="122" t="s">
        <v>36</v>
      </c>
      <c r="B228" s="123" t="s">
        <v>37</v>
      </c>
      <c r="C228" s="125">
        <v>6700</v>
      </c>
      <c r="D228" s="124">
        <v>6700</v>
      </c>
      <c r="E228" s="117">
        <f t="shared" si="13"/>
        <v>0</v>
      </c>
      <c r="F228" s="118">
        <f t="shared" si="14"/>
        <v>100</v>
      </c>
      <c r="G228" s="86"/>
      <c r="H228" s="189">
        <f t="shared" si="12"/>
        <v>6700</v>
      </c>
      <c r="I228" s="8"/>
      <c r="J228" s="183">
        <f>D228</f>
        <v>6700</v>
      </c>
      <c r="K228" s="8"/>
      <c r="L228" s="8"/>
      <c r="M228" s="8"/>
      <c r="N228" s="185"/>
    </row>
    <row r="229" spans="1:14" ht="20.25" customHeight="1">
      <c r="A229" s="122" t="s">
        <v>53</v>
      </c>
      <c r="B229" s="123" t="s">
        <v>54</v>
      </c>
      <c r="C229" s="125">
        <v>0</v>
      </c>
      <c r="D229" s="124">
        <v>1000</v>
      </c>
      <c r="E229" s="117">
        <f t="shared" si="13"/>
        <v>1000</v>
      </c>
      <c r="F229" s="118" t="e">
        <f t="shared" si="14"/>
        <v>#DIV/0!</v>
      </c>
      <c r="G229" s="86"/>
      <c r="H229" s="189">
        <f t="shared" si="12"/>
        <v>1000</v>
      </c>
      <c r="I229" s="8"/>
      <c r="J229" s="183">
        <f>D229</f>
        <v>1000</v>
      </c>
      <c r="K229" s="8"/>
      <c r="L229" s="8"/>
      <c r="M229" s="8"/>
      <c r="N229" s="185"/>
    </row>
    <row r="230" spans="1:14" ht="20.25" customHeight="1">
      <c r="A230" s="122" t="s">
        <v>38</v>
      </c>
      <c r="B230" s="123" t="s">
        <v>72</v>
      </c>
      <c r="C230" s="125">
        <v>110800</v>
      </c>
      <c r="D230" s="124">
        <v>123300</v>
      </c>
      <c r="E230" s="117">
        <f t="shared" si="13"/>
        <v>12500</v>
      </c>
      <c r="F230" s="118">
        <f t="shared" si="14"/>
        <v>111.28158844765343</v>
      </c>
      <c r="G230" s="86"/>
      <c r="H230" s="189">
        <f t="shared" si="12"/>
        <v>123300</v>
      </c>
      <c r="I230" s="8"/>
      <c r="J230" s="183">
        <f>D230</f>
        <v>123300</v>
      </c>
      <c r="K230" s="8"/>
      <c r="L230" s="8"/>
      <c r="M230" s="8"/>
      <c r="N230" s="185"/>
    </row>
    <row r="231" spans="1:14" ht="20.25" customHeight="1">
      <c r="A231" s="122" t="s">
        <v>223</v>
      </c>
      <c r="B231" s="123" t="s">
        <v>224</v>
      </c>
      <c r="C231" s="125">
        <v>100</v>
      </c>
      <c r="D231" s="124">
        <v>100</v>
      </c>
      <c r="E231" s="117">
        <f t="shared" si="13"/>
        <v>0</v>
      </c>
      <c r="F231" s="118">
        <f t="shared" si="14"/>
        <v>100</v>
      </c>
      <c r="G231" s="86"/>
      <c r="H231" s="189">
        <f t="shared" si="12"/>
        <v>100</v>
      </c>
      <c r="I231" s="8"/>
      <c r="J231" s="183">
        <f>D231</f>
        <v>100</v>
      </c>
      <c r="K231" s="8"/>
      <c r="L231" s="8"/>
      <c r="M231" s="8"/>
      <c r="N231" s="185"/>
    </row>
    <row r="232" spans="1:14" ht="20.25" customHeight="1">
      <c r="A232" s="122"/>
      <c r="B232" s="123" t="s">
        <v>225</v>
      </c>
      <c r="C232" s="125"/>
      <c r="D232" s="124"/>
      <c r="E232" s="117"/>
      <c r="F232" s="118"/>
      <c r="G232" s="86"/>
      <c r="H232" s="189">
        <f t="shared" si="12"/>
        <v>0</v>
      </c>
      <c r="I232" s="8"/>
      <c r="J232" s="8"/>
      <c r="K232" s="8"/>
      <c r="L232" s="8"/>
      <c r="M232" s="8"/>
      <c r="N232" s="185"/>
    </row>
    <row r="233" spans="1:14" ht="20.25" customHeight="1">
      <c r="A233" s="122" t="s">
        <v>216</v>
      </c>
      <c r="B233" s="123" t="s">
        <v>218</v>
      </c>
      <c r="C233" s="125">
        <v>5000</v>
      </c>
      <c r="D233" s="124">
        <v>2500</v>
      </c>
      <c r="E233" s="117">
        <f t="shared" si="13"/>
        <v>-2500</v>
      </c>
      <c r="F233" s="118">
        <f t="shared" si="14"/>
        <v>50</v>
      </c>
      <c r="G233" s="86"/>
      <c r="H233" s="189">
        <f t="shared" si="12"/>
        <v>2500</v>
      </c>
      <c r="I233" s="8"/>
      <c r="J233" s="183">
        <f>D233</f>
        <v>2500</v>
      </c>
      <c r="K233" s="8"/>
      <c r="L233" s="8"/>
      <c r="M233" s="8"/>
      <c r="N233" s="185"/>
    </row>
    <row r="234" spans="1:14" ht="20.25" customHeight="1">
      <c r="A234" s="122"/>
      <c r="B234" s="123" t="s">
        <v>217</v>
      </c>
      <c r="C234" s="125"/>
      <c r="D234" s="124"/>
      <c r="E234" s="117"/>
      <c r="F234" s="118"/>
      <c r="G234" s="86"/>
      <c r="H234" s="189">
        <f t="shared" si="12"/>
        <v>0</v>
      </c>
      <c r="I234" s="8"/>
      <c r="J234" s="8"/>
      <c r="K234" s="8"/>
      <c r="L234" s="8"/>
      <c r="M234" s="8"/>
      <c r="N234" s="185"/>
    </row>
    <row r="235" spans="1:14" ht="20.25" customHeight="1">
      <c r="A235" s="122" t="s">
        <v>219</v>
      </c>
      <c r="B235" s="123" t="s">
        <v>220</v>
      </c>
      <c r="C235" s="125">
        <v>4500</v>
      </c>
      <c r="D235" s="124">
        <v>4500</v>
      </c>
      <c r="E235" s="117">
        <f t="shared" si="13"/>
        <v>0</v>
      </c>
      <c r="F235" s="118">
        <f t="shared" si="14"/>
        <v>100</v>
      </c>
      <c r="G235" s="86"/>
      <c r="H235" s="189">
        <f t="shared" si="12"/>
        <v>4500</v>
      </c>
      <c r="I235" s="8"/>
      <c r="J235" s="183">
        <f>D235</f>
        <v>4500</v>
      </c>
      <c r="K235" s="8"/>
      <c r="L235" s="8"/>
      <c r="M235" s="8"/>
      <c r="N235" s="185"/>
    </row>
    <row r="236" spans="1:14" ht="20.25" customHeight="1">
      <c r="A236" s="122"/>
      <c r="B236" s="123" t="s">
        <v>221</v>
      </c>
      <c r="C236" s="125"/>
      <c r="D236" s="124"/>
      <c r="E236" s="117"/>
      <c r="F236" s="118"/>
      <c r="G236" s="86"/>
      <c r="H236" s="189">
        <f t="shared" si="12"/>
        <v>0</v>
      </c>
      <c r="I236" s="8"/>
      <c r="J236" s="8"/>
      <c r="K236" s="8"/>
      <c r="L236" s="8"/>
      <c r="M236" s="8"/>
      <c r="N236" s="185"/>
    </row>
    <row r="237" spans="1:14" ht="34.5" customHeight="1">
      <c r="A237" s="122" t="s">
        <v>89</v>
      </c>
      <c r="B237" s="123" t="s">
        <v>98</v>
      </c>
      <c r="C237" s="125">
        <v>300000</v>
      </c>
      <c r="D237" s="124">
        <f>785000</f>
        <v>785000</v>
      </c>
      <c r="E237" s="117">
        <f t="shared" si="13"/>
        <v>485000</v>
      </c>
      <c r="F237" s="118">
        <f t="shared" si="14"/>
        <v>261.6666666666667</v>
      </c>
      <c r="G237" s="86" t="s">
        <v>362</v>
      </c>
      <c r="H237" s="189">
        <f t="shared" si="12"/>
        <v>0</v>
      </c>
      <c r="I237" s="183"/>
      <c r="J237" s="183"/>
      <c r="K237" s="183"/>
      <c r="L237" s="183"/>
      <c r="M237" s="183"/>
      <c r="N237" s="186">
        <f>D237</f>
        <v>785000</v>
      </c>
    </row>
    <row r="238" spans="1:14" ht="39" customHeight="1">
      <c r="A238" s="122" t="s">
        <v>73</v>
      </c>
      <c r="B238" s="123" t="s">
        <v>74</v>
      </c>
      <c r="C238" s="125">
        <v>0</v>
      </c>
      <c r="D238" s="124">
        <v>100</v>
      </c>
      <c r="E238" s="117">
        <f t="shared" si="13"/>
        <v>100</v>
      </c>
      <c r="F238" s="118" t="e">
        <f t="shared" si="14"/>
        <v>#DIV/0!</v>
      </c>
      <c r="G238" s="86"/>
      <c r="H238" s="189">
        <f t="shared" si="12"/>
        <v>0</v>
      </c>
      <c r="I238" s="8"/>
      <c r="J238" s="8"/>
      <c r="K238" s="8"/>
      <c r="L238" s="8"/>
      <c r="M238" s="8"/>
      <c r="N238" s="186">
        <f>D238</f>
        <v>100</v>
      </c>
    </row>
    <row r="239" spans="1:14" ht="20.25" customHeight="1">
      <c r="A239" s="122"/>
      <c r="B239" s="123" t="s">
        <v>75</v>
      </c>
      <c r="C239" s="125"/>
      <c r="D239" s="124"/>
      <c r="E239" s="117"/>
      <c r="F239" s="118"/>
      <c r="G239" s="86"/>
      <c r="H239" s="189">
        <f t="shared" si="12"/>
        <v>0</v>
      </c>
      <c r="I239" s="8"/>
      <c r="J239" s="8"/>
      <c r="K239" s="8"/>
      <c r="L239" s="8"/>
      <c r="M239" s="8"/>
      <c r="N239" s="185"/>
    </row>
    <row r="240" spans="1:14" ht="20.25" customHeight="1">
      <c r="A240" s="122"/>
      <c r="B240" s="123"/>
      <c r="C240" s="125"/>
      <c r="D240" s="124"/>
      <c r="E240" s="117"/>
      <c r="F240" s="118"/>
      <c r="G240" s="86"/>
      <c r="H240" s="189">
        <f t="shared" si="12"/>
        <v>0</v>
      </c>
      <c r="I240" s="8"/>
      <c r="J240" s="8"/>
      <c r="K240" s="8"/>
      <c r="L240" s="8"/>
      <c r="M240" s="8"/>
      <c r="N240" s="185"/>
    </row>
    <row r="241" spans="1:14" ht="20.25" customHeight="1">
      <c r="A241" s="126" t="s">
        <v>295</v>
      </c>
      <c r="B241" s="127" t="s">
        <v>296</v>
      </c>
      <c r="C241" s="129">
        <f>SUM(C242:C262)</f>
        <v>326000</v>
      </c>
      <c r="D241" s="128">
        <f>SUM(D242:D262)</f>
        <v>438800</v>
      </c>
      <c r="E241" s="117">
        <f t="shared" si="13"/>
        <v>112800</v>
      </c>
      <c r="F241" s="118">
        <f t="shared" si="14"/>
        <v>134.60122699386503</v>
      </c>
      <c r="G241" s="86"/>
      <c r="H241" s="189">
        <f t="shared" si="12"/>
        <v>0</v>
      </c>
      <c r="I241" s="8"/>
      <c r="J241" s="8"/>
      <c r="K241" s="8"/>
      <c r="L241" s="8"/>
      <c r="M241" s="8"/>
      <c r="N241" s="185"/>
    </row>
    <row r="242" spans="1:14" ht="20.25" customHeight="1">
      <c r="A242" s="155" t="s">
        <v>231</v>
      </c>
      <c r="B242" s="156" t="s">
        <v>293</v>
      </c>
      <c r="C242" s="180">
        <f>600+17600</f>
        <v>18200</v>
      </c>
      <c r="D242" s="157">
        <f>600+17300</f>
        <v>17900</v>
      </c>
      <c r="E242" s="117">
        <f t="shared" si="13"/>
        <v>-300</v>
      </c>
      <c r="F242" s="118">
        <f t="shared" si="14"/>
        <v>98.35164835164835</v>
      </c>
      <c r="G242" s="86"/>
      <c r="H242" s="189">
        <f t="shared" si="12"/>
        <v>17900</v>
      </c>
      <c r="I242" s="8"/>
      <c r="J242" s="8"/>
      <c r="K242" s="8"/>
      <c r="L242" s="183">
        <f>D242</f>
        <v>17900</v>
      </c>
      <c r="M242" s="8"/>
      <c r="N242" s="185"/>
    </row>
    <row r="243" spans="1:14" ht="20.25" customHeight="1">
      <c r="A243" s="122" t="s">
        <v>22</v>
      </c>
      <c r="B243" s="123" t="s">
        <v>66</v>
      </c>
      <c r="C243" s="125">
        <f>201100+2000+2400</f>
        <v>205500</v>
      </c>
      <c r="D243" s="124">
        <f>208400+2100</f>
        <v>210500</v>
      </c>
      <c r="E243" s="117">
        <f t="shared" si="13"/>
        <v>5000</v>
      </c>
      <c r="F243" s="118">
        <f t="shared" si="14"/>
        <v>102.4330900243309</v>
      </c>
      <c r="G243" s="86"/>
      <c r="H243" s="189">
        <f t="shared" si="12"/>
        <v>210500</v>
      </c>
      <c r="I243" s="183">
        <f>D243</f>
        <v>210500</v>
      </c>
      <c r="J243" s="8"/>
      <c r="K243" s="8"/>
      <c r="L243" s="8"/>
      <c r="M243" s="8"/>
      <c r="N243" s="185"/>
    </row>
    <row r="244" spans="1:14" ht="20.25" customHeight="1">
      <c r="A244" s="122" t="s">
        <v>24</v>
      </c>
      <c r="B244" s="123" t="s">
        <v>67</v>
      </c>
      <c r="C244" s="125">
        <v>13500</v>
      </c>
      <c r="D244" s="124">
        <v>16700</v>
      </c>
      <c r="E244" s="117">
        <f t="shared" si="13"/>
        <v>3200</v>
      </c>
      <c r="F244" s="118">
        <f t="shared" si="14"/>
        <v>123.70370370370371</v>
      </c>
      <c r="G244" s="86"/>
      <c r="H244" s="189">
        <f t="shared" si="12"/>
        <v>16700</v>
      </c>
      <c r="I244" s="183">
        <f>D244</f>
        <v>16700</v>
      </c>
      <c r="J244" s="8"/>
      <c r="K244" s="8"/>
      <c r="L244" s="8"/>
      <c r="M244" s="8"/>
      <c r="N244" s="185"/>
    </row>
    <row r="245" spans="1:14" ht="20.25" customHeight="1">
      <c r="A245" s="122" t="s">
        <v>26</v>
      </c>
      <c r="B245" s="123" t="s">
        <v>27</v>
      </c>
      <c r="C245" s="125">
        <v>35800</v>
      </c>
      <c r="D245" s="124">
        <v>37200</v>
      </c>
      <c r="E245" s="117">
        <f t="shared" si="13"/>
        <v>1400</v>
      </c>
      <c r="F245" s="118">
        <f t="shared" si="14"/>
        <v>103.91061452513966</v>
      </c>
      <c r="G245" s="86"/>
      <c r="H245" s="189">
        <f t="shared" si="12"/>
        <v>37200</v>
      </c>
      <c r="I245" s="183">
        <f>D245</f>
        <v>37200</v>
      </c>
      <c r="J245" s="8"/>
      <c r="K245" s="8"/>
      <c r="L245" s="8"/>
      <c r="M245" s="8"/>
      <c r="N245" s="185"/>
    </row>
    <row r="246" spans="1:14" ht="20.25" customHeight="1">
      <c r="A246" s="122" t="s">
        <v>28</v>
      </c>
      <c r="B246" s="123" t="s">
        <v>29</v>
      </c>
      <c r="C246" s="125">
        <v>5800</v>
      </c>
      <c r="D246" s="124">
        <v>6100</v>
      </c>
      <c r="E246" s="117">
        <f t="shared" si="13"/>
        <v>300</v>
      </c>
      <c r="F246" s="118">
        <f t="shared" si="14"/>
        <v>105.17241379310344</v>
      </c>
      <c r="G246" s="86"/>
      <c r="H246" s="189">
        <f t="shared" si="12"/>
        <v>6100</v>
      </c>
      <c r="I246" s="183">
        <f>D246</f>
        <v>6100</v>
      </c>
      <c r="J246" s="8"/>
      <c r="K246" s="8"/>
      <c r="L246" s="8"/>
      <c r="M246" s="8"/>
      <c r="N246" s="185"/>
    </row>
    <row r="247" spans="1:14" ht="20.25" customHeight="1">
      <c r="A247" s="122" t="s">
        <v>34</v>
      </c>
      <c r="B247" s="123" t="s">
        <v>35</v>
      </c>
      <c r="C247" s="125">
        <v>18000</v>
      </c>
      <c r="D247" s="124">
        <v>124000</v>
      </c>
      <c r="E247" s="117">
        <f t="shared" si="13"/>
        <v>106000</v>
      </c>
      <c r="F247" s="118">
        <f t="shared" si="14"/>
        <v>688.8888888888889</v>
      </c>
      <c r="G247" s="86"/>
      <c r="H247" s="189">
        <f t="shared" si="12"/>
        <v>124000</v>
      </c>
      <c r="I247" s="8"/>
      <c r="J247" s="183">
        <f aca="true" t="shared" si="16" ref="J247:J253">D247</f>
        <v>124000</v>
      </c>
      <c r="K247" s="8"/>
      <c r="L247" s="8"/>
      <c r="M247" s="8"/>
      <c r="N247" s="185"/>
    </row>
    <row r="248" spans="1:14" ht="20.25" customHeight="1">
      <c r="A248" s="122" t="s">
        <v>245</v>
      </c>
      <c r="B248" s="123" t="s">
        <v>294</v>
      </c>
      <c r="C248" s="125">
        <v>100</v>
      </c>
      <c r="D248" s="124">
        <v>0</v>
      </c>
      <c r="E248" s="117">
        <f t="shared" si="13"/>
        <v>-100</v>
      </c>
      <c r="F248" s="118">
        <f t="shared" si="14"/>
        <v>0</v>
      </c>
      <c r="G248" s="86"/>
      <c r="H248" s="189">
        <f t="shared" si="12"/>
        <v>0</v>
      </c>
      <c r="I248" s="8"/>
      <c r="J248" s="183">
        <f t="shared" si="16"/>
        <v>0</v>
      </c>
      <c r="K248" s="8"/>
      <c r="L248" s="8"/>
      <c r="M248" s="8"/>
      <c r="N248" s="185"/>
    </row>
    <row r="249" spans="1:14" ht="20.25" customHeight="1">
      <c r="A249" s="122" t="s">
        <v>68</v>
      </c>
      <c r="B249" s="123" t="s">
        <v>69</v>
      </c>
      <c r="C249" s="125">
        <v>9000</v>
      </c>
      <c r="D249" s="124">
        <v>9000</v>
      </c>
      <c r="E249" s="117">
        <f t="shared" si="13"/>
        <v>0</v>
      </c>
      <c r="F249" s="118">
        <f t="shared" si="14"/>
        <v>100</v>
      </c>
      <c r="G249" s="86"/>
      <c r="H249" s="189">
        <f t="shared" si="12"/>
        <v>9000</v>
      </c>
      <c r="I249" s="8"/>
      <c r="J249" s="183">
        <f t="shared" si="16"/>
        <v>9000</v>
      </c>
      <c r="K249" s="8"/>
      <c r="L249" s="8"/>
      <c r="M249" s="8"/>
      <c r="N249" s="185"/>
    </row>
    <row r="250" spans="1:14" ht="20.25" customHeight="1">
      <c r="A250" s="122" t="s">
        <v>44</v>
      </c>
      <c r="B250" s="123" t="s">
        <v>45</v>
      </c>
      <c r="C250" s="125">
        <v>5000</v>
      </c>
      <c r="D250" s="124">
        <v>1000</v>
      </c>
      <c r="E250" s="117">
        <f t="shared" si="13"/>
        <v>-4000</v>
      </c>
      <c r="F250" s="118">
        <f t="shared" si="14"/>
        <v>20</v>
      </c>
      <c r="G250" s="86"/>
      <c r="H250" s="189">
        <f t="shared" si="12"/>
        <v>1000</v>
      </c>
      <c r="I250" s="8"/>
      <c r="J250" s="183">
        <f t="shared" si="16"/>
        <v>1000</v>
      </c>
      <c r="K250" s="8"/>
      <c r="L250" s="8"/>
      <c r="M250" s="8"/>
      <c r="N250" s="185"/>
    </row>
    <row r="251" spans="1:14" ht="20.25" customHeight="1">
      <c r="A251" s="122" t="s">
        <v>70</v>
      </c>
      <c r="B251" s="123" t="s">
        <v>71</v>
      </c>
      <c r="C251" s="125">
        <v>600</v>
      </c>
      <c r="D251" s="124">
        <v>600</v>
      </c>
      <c r="E251" s="117">
        <f t="shared" si="13"/>
        <v>0</v>
      </c>
      <c r="F251" s="118">
        <f t="shared" si="14"/>
        <v>100</v>
      </c>
      <c r="G251" s="86"/>
      <c r="H251" s="189">
        <f t="shared" si="12"/>
        <v>600</v>
      </c>
      <c r="I251" s="8"/>
      <c r="J251" s="183">
        <f t="shared" si="16"/>
        <v>600</v>
      </c>
      <c r="K251" s="8"/>
      <c r="L251" s="8"/>
      <c r="M251" s="8"/>
      <c r="N251" s="185"/>
    </row>
    <row r="252" spans="1:14" ht="20.25" customHeight="1">
      <c r="A252" s="122" t="s">
        <v>16</v>
      </c>
      <c r="B252" s="123" t="s">
        <v>17</v>
      </c>
      <c r="C252" s="125">
        <v>100</v>
      </c>
      <c r="D252" s="124">
        <v>100</v>
      </c>
      <c r="E252" s="117">
        <f t="shared" si="13"/>
        <v>0</v>
      </c>
      <c r="F252" s="118">
        <f t="shared" si="14"/>
        <v>100</v>
      </c>
      <c r="G252" s="86"/>
      <c r="H252" s="189">
        <f t="shared" si="12"/>
        <v>100</v>
      </c>
      <c r="I252" s="8"/>
      <c r="J252" s="183">
        <f t="shared" si="16"/>
        <v>100</v>
      </c>
      <c r="K252" s="8"/>
      <c r="L252" s="8"/>
      <c r="M252" s="8"/>
      <c r="N252" s="185"/>
    </row>
    <row r="253" spans="1:14" ht="20.25" customHeight="1">
      <c r="A253" s="122" t="s">
        <v>214</v>
      </c>
      <c r="B253" s="123" t="s">
        <v>212</v>
      </c>
      <c r="C253" s="125">
        <v>1500</v>
      </c>
      <c r="D253" s="124">
        <v>1000</v>
      </c>
      <c r="E253" s="117">
        <f t="shared" si="13"/>
        <v>-500</v>
      </c>
      <c r="F253" s="118">
        <f t="shared" si="14"/>
        <v>66.66666666666667</v>
      </c>
      <c r="G253" s="86"/>
      <c r="H253" s="189">
        <f t="shared" si="12"/>
        <v>1000</v>
      </c>
      <c r="I253" s="8"/>
      <c r="J253" s="183">
        <f t="shared" si="16"/>
        <v>1000</v>
      </c>
      <c r="K253" s="8"/>
      <c r="L253" s="8"/>
      <c r="M253" s="8"/>
      <c r="N253" s="185"/>
    </row>
    <row r="254" spans="1:14" ht="20.25" customHeight="1">
      <c r="A254" s="122"/>
      <c r="B254" s="123" t="s">
        <v>215</v>
      </c>
      <c r="C254" s="125"/>
      <c r="D254" s="124"/>
      <c r="E254" s="117"/>
      <c r="F254" s="118"/>
      <c r="G254" s="86"/>
      <c r="H254" s="189">
        <f t="shared" si="12"/>
        <v>0</v>
      </c>
      <c r="I254" s="8"/>
      <c r="J254" s="8"/>
      <c r="K254" s="8"/>
      <c r="L254" s="8"/>
      <c r="M254" s="8"/>
      <c r="N254" s="185"/>
    </row>
    <row r="255" spans="1:14" ht="20.25" customHeight="1">
      <c r="A255" s="122" t="s">
        <v>36</v>
      </c>
      <c r="B255" s="123" t="s">
        <v>37</v>
      </c>
      <c r="C255" s="125">
        <v>100</v>
      </c>
      <c r="D255" s="124">
        <v>100</v>
      </c>
      <c r="E255" s="117">
        <f t="shared" si="13"/>
        <v>0</v>
      </c>
      <c r="F255" s="118">
        <f t="shared" si="14"/>
        <v>100</v>
      </c>
      <c r="G255" s="86"/>
      <c r="H255" s="189">
        <f t="shared" si="12"/>
        <v>100</v>
      </c>
      <c r="I255" s="8"/>
      <c r="J255" s="183">
        <f>D255</f>
        <v>100</v>
      </c>
      <c r="K255" s="8"/>
      <c r="L255" s="8"/>
      <c r="M255" s="8"/>
      <c r="N255" s="185"/>
    </row>
    <row r="256" spans="1:14" ht="20.25" customHeight="1">
      <c r="A256" s="122" t="s">
        <v>38</v>
      </c>
      <c r="B256" s="123" t="s">
        <v>72</v>
      </c>
      <c r="C256" s="125">
        <v>12600</v>
      </c>
      <c r="D256" s="124">
        <v>14400</v>
      </c>
      <c r="E256" s="117">
        <f t="shared" si="13"/>
        <v>1800</v>
      </c>
      <c r="F256" s="118">
        <f t="shared" si="14"/>
        <v>114.28571428571429</v>
      </c>
      <c r="G256" s="86"/>
      <c r="H256" s="189">
        <f t="shared" si="12"/>
        <v>14400</v>
      </c>
      <c r="I256" s="8"/>
      <c r="J256" s="183">
        <f>D256</f>
        <v>14400</v>
      </c>
      <c r="K256" s="8"/>
      <c r="L256" s="8"/>
      <c r="M256" s="8"/>
      <c r="N256" s="185"/>
    </row>
    <row r="257" spans="1:14" ht="20.25" customHeight="1">
      <c r="A257" s="122" t="s">
        <v>223</v>
      </c>
      <c r="B257" s="123" t="s">
        <v>224</v>
      </c>
      <c r="C257" s="125">
        <v>0</v>
      </c>
      <c r="D257" s="124">
        <v>0</v>
      </c>
      <c r="E257" s="117">
        <f t="shared" si="13"/>
        <v>0</v>
      </c>
      <c r="F257" s="118" t="e">
        <f t="shared" si="14"/>
        <v>#DIV/0!</v>
      </c>
      <c r="G257" s="86"/>
      <c r="H257" s="189">
        <f t="shared" si="12"/>
        <v>0</v>
      </c>
      <c r="I257" s="8"/>
      <c r="J257" s="183">
        <f>D257</f>
        <v>0</v>
      </c>
      <c r="K257" s="8"/>
      <c r="L257" s="8"/>
      <c r="M257" s="8"/>
      <c r="N257" s="185"/>
    </row>
    <row r="258" spans="1:14" ht="20.25" customHeight="1">
      <c r="A258" s="122"/>
      <c r="B258" s="123" t="s">
        <v>225</v>
      </c>
      <c r="C258" s="125"/>
      <c r="D258" s="124"/>
      <c r="E258" s="117"/>
      <c r="F258" s="118"/>
      <c r="G258" s="86"/>
      <c r="H258" s="189">
        <f t="shared" si="12"/>
        <v>0</v>
      </c>
      <c r="I258" s="8"/>
      <c r="J258" s="8"/>
      <c r="K258" s="8"/>
      <c r="L258" s="8"/>
      <c r="M258" s="8"/>
      <c r="N258" s="185"/>
    </row>
    <row r="259" spans="1:14" ht="20.25" customHeight="1">
      <c r="A259" s="122" t="s">
        <v>216</v>
      </c>
      <c r="B259" s="123" t="s">
        <v>218</v>
      </c>
      <c r="C259" s="125">
        <v>100</v>
      </c>
      <c r="D259" s="124">
        <v>100</v>
      </c>
      <c r="E259" s="117">
        <f t="shared" si="13"/>
        <v>0</v>
      </c>
      <c r="F259" s="118">
        <f t="shared" si="14"/>
        <v>100</v>
      </c>
      <c r="G259" s="86"/>
      <c r="H259" s="189">
        <f t="shared" si="12"/>
        <v>100</v>
      </c>
      <c r="I259" s="8"/>
      <c r="J259" s="183">
        <f>D259</f>
        <v>100</v>
      </c>
      <c r="K259" s="8"/>
      <c r="L259" s="8"/>
      <c r="M259" s="8"/>
      <c r="N259" s="185"/>
    </row>
    <row r="260" spans="1:14" ht="20.25" customHeight="1">
      <c r="A260" s="122"/>
      <c r="B260" s="123" t="s">
        <v>217</v>
      </c>
      <c r="C260" s="125"/>
      <c r="D260" s="124"/>
      <c r="E260" s="117"/>
      <c r="F260" s="118"/>
      <c r="G260" s="86"/>
      <c r="H260" s="189">
        <f t="shared" si="12"/>
        <v>0</v>
      </c>
      <c r="I260" s="8"/>
      <c r="J260" s="8"/>
      <c r="K260" s="8"/>
      <c r="L260" s="8"/>
      <c r="M260" s="8"/>
      <c r="N260" s="185"/>
    </row>
    <row r="261" spans="1:14" ht="20.25" customHeight="1">
      <c r="A261" s="122" t="s">
        <v>219</v>
      </c>
      <c r="B261" s="123" t="s">
        <v>220</v>
      </c>
      <c r="C261" s="125">
        <v>100</v>
      </c>
      <c r="D261" s="124">
        <v>100</v>
      </c>
      <c r="E261" s="117">
        <f t="shared" si="13"/>
        <v>0</v>
      </c>
      <c r="F261" s="118">
        <f t="shared" si="14"/>
        <v>100</v>
      </c>
      <c r="G261" s="86"/>
      <c r="H261" s="189">
        <f t="shared" si="12"/>
        <v>100</v>
      </c>
      <c r="I261" s="8"/>
      <c r="J261" s="183">
        <f>D261</f>
        <v>100</v>
      </c>
      <c r="K261" s="8"/>
      <c r="L261" s="8"/>
      <c r="M261" s="8"/>
      <c r="N261" s="185"/>
    </row>
    <row r="262" spans="1:14" ht="20.25" customHeight="1">
      <c r="A262" s="122"/>
      <c r="B262" s="123" t="s">
        <v>221</v>
      </c>
      <c r="C262" s="125"/>
      <c r="D262" s="124"/>
      <c r="E262" s="117"/>
      <c r="F262" s="118"/>
      <c r="G262" s="86"/>
      <c r="H262" s="189">
        <f t="shared" si="12"/>
        <v>0</v>
      </c>
      <c r="I262" s="8"/>
      <c r="J262" s="8"/>
      <c r="K262" s="8"/>
      <c r="L262" s="8"/>
      <c r="M262" s="8"/>
      <c r="N262" s="185"/>
    </row>
    <row r="263" spans="1:14" ht="20.25" customHeight="1">
      <c r="A263" s="122"/>
      <c r="B263" s="123"/>
      <c r="C263" s="125"/>
      <c r="D263" s="124"/>
      <c r="E263" s="117"/>
      <c r="F263" s="118"/>
      <c r="G263" s="86"/>
      <c r="H263" s="189">
        <f aca="true" t="shared" si="17" ref="H263:H326">SUM(I263:M263)</f>
        <v>0</v>
      </c>
      <c r="I263" s="8"/>
      <c r="J263" s="8"/>
      <c r="K263" s="8"/>
      <c r="L263" s="8"/>
      <c r="M263" s="8"/>
      <c r="N263" s="185"/>
    </row>
    <row r="264" spans="1:14" ht="20.25" customHeight="1">
      <c r="A264" s="126" t="s">
        <v>246</v>
      </c>
      <c r="B264" s="127" t="s">
        <v>247</v>
      </c>
      <c r="C264" s="129">
        <f>SUM(C265:C290)</f>
        <v>1883800</v>
      </c>
      <c r="D264" s="128">
        <f>SUM(D265:D290)</f>
        <v>1802000</v>
      </c>
      <c r="E264" s="117">
        <f t="shared" si="13"/>
        <v>-81800</v>
      </c>
      <c r="F264" s="118">
        <f t="shared" si="14"/>
        <v>95.65771313302898</v>
      </c>
      <c r="G264" s="86"/>
      <c r="H264" s="189">
        <f t="shared" si="17"/>
        <v>0</v>
      </c>
      <c r="I264" s="8"/>
      <c r="J264" s="8"/>
      <c r="K264" s="8"/>
      <c r="L264" s="8"/>
      <c r="M264" s="8"/>
      <c r="N264" s="185"/>
    </row>
    <row r="265" spans="1:14" ht="20.25" customHeight="1">
      <c r="A265" s="155" t="s">
        <v>231</v>
      </c>
      <c r="B265" s="156" t="s">
        <v>293</v>
      </c>
      <c r="C265" s="125">
        <f>2500+72700+1500</f>
        <v>76700</v>
      </c>
      <c r="D265" s="124">
        <f>2100+56700+1500</f>
        <v>60300</v>
      </c>
      <c r="E265" s="117">
        <f t="shared" si="13"/>
        <v>-16400</v>
      </c>
      <c r="F265" s="118">
        <f t="shared" si="14"/>
        <v>78.6179921773142</v>
      </c>
      <c r="G265" s="86"/>
      <c r="H265" s="189">
        <f t="shared" si="17"/>
        <v>60300</v>
      </c>
      <c r="I265" s="8"/>
      <c r="J265" s="8"/>
      <c r="K265" s="8"/>
      <c r="L265" s="183">
        <f>D265</f>
        <v>60300</v>
      </c>
      <c r="M265" s="8"/>
      <c r="N265" s="185"/>
    </row>
    <row r="266" spans="1:14" ht="20.25" customHeight="1">
      <c r="A266" s="122" t="s">
        <v>22</v>
      </c>
      <c r="B266" s="123" t="s">
        <v>66</v>
      </c>
      <c r="C266" s="125">
        <f>907400+9000</f>
        <v>916400</v>
      </c>
      <c r="D266" s="124">
        <f>764500+7700+114300</f>
        <v>886500</v>
      </c>
      <c r="E266" s="117">
        <f t="shared" si="13"/>
        <v>-29900</v>
      </c>
      <c r="F266" s="118">
        <f t="shared" si="14"/>
        <v>96.73723264949804</v>
      </c>
      <c r="G266" s="86"/>
      <c r="H266" s="189">
        <f t="shared" si="17"/>
        <v>886500</v>
      </c>
      <c r="I266" s="183">
        <f>D266</f>
        <v>886500</v>
      </c>
      <c r="J266" s="8"/>
      <c r="K266" s="8"/>
      <c r="L266" s="8"/>
      <c r="M266" s="8"/>
      <c r="N266" s="185"/>
    </row>
    <row r="267" spans="1:14" ht="20.25" customHeight="1">
      <c r="A267" s="122" t="s">
        <v>24</v>
      </c>
      <c r="B267" s="123" t="s">
        <v>67</v>
      </c>
      <c r="C267" s="125">
        <v>66900</v>
      </c>
      <c r="D267" s="124">
        <v>78000</v>
      </c>
      <c r="E267" s="117">
        <f t="shared" si="13"/>
        <v>11100</v>
      </c>
      <c r="F267" s="118">
        <f t="shared" si="14"/>
        <v>116.59192825112108</v>
      </c>
      <c r="G267" s="86"/>
      <c r="H267" s="189">
        <f t="shared" si="17"/>
        <v>78000</v>
      </c>
      <c r="I267" s="183">
        <f>D267</f>
        <v>78000</v>
      </c>
      <c r="J267" s="8"/>
      <c r="K267" s="8"/>
      <c r="L267" s="8"/>
      <c r="M267" s="8"/>
      <c r="N267" s="185"/>
    </row>
    <row r="268" spans="1:14" ht="20.25" customHeight="1">
      <c r="A268" s="122" t="s">
        <v>26</v>
      </c>
      <c r="B268" s="123" t="s">
        <v>27</v>
      </c>
      <c r="C268" s="125">
        <v>161300</v>
      </c>
      <c r="D268" s="124">
        <v>140600</v>
      </c>
      <c r="E268" s="117">
        <f t="shared" si="13"/>
        <v>-20700</v>
      </c>
      <c r="F268" s="118">
        <f t="shared" si="14"/>
        <v>87.16676999380037</v>
      </c>
      <c r="G268" s="86"/>
      <c r="H268" s="189">
        <f t="shared" si="17"/>
        <v>140600</v>
      </c>
      <c r="I268" s="183">
        <f>D268</f>
        <v>140600</v>
      </c>
      <c r="J268" s="8"/>
      <c r="K268" s="8"/>
      <c r="L268" s="8"/>
      <c r="M268" s="8"/>
      <c r="N268" s="185"/>
    </row>
    <row r="269" spans="1:14" ht="20.25" customHeight="1">
      <c r="A269" s="122" t="s">
        <v>28</v>
      </c>
      <c r="B269" s="123" t="s">
        <v>29</v>
      </c>
      <c r="C269" s="125">
        <v>25900</v>
      </c>
      <c r="D269" s="124">
        <v>22800</v>
      </c>
      <c r="E269" s="117">
        <f t="shared" si="13"/>
        <v>-3100</v>
      </c>
      <c r="F269" s="118">
        <f t="shared" si="14"/>
        <v>88.03088803088804</v>
      </c>
      <c r="G269" s="86"/>
      <c r="H269" s="189">
        <f t="shared" si="17"/>
        <v>22800</v>
      </c>
      <c r="I269" s="183">
        <f>D269</f>
        <v>22800</v>
      </c>
      <c r="J269" s="8"/>
      <c r="K269" s="8"/>
      <c r="L269" s="8"/>
      <c r="M269" s="8"/>
      <c r="N269" s="185"/>
    </row>
    <row r="270" spans="1:14" ht="20.25" customHeight="1">
      <c r="A270" s="122" t="s">
        <v>32</v>
      </c>
      <c r="B270" s="123" t="s">
        <v>33</v>
      </c>
      <c r="C270" s="125">
        <v>8100</v>
      </c>
      <c r="D270" s="124">
        <v>100</v>
      </c>
      <c r="E270" s="117">
        <f t="shared" si="13"/>
        <v>-8000</v>
      </c>
      <c r="F270" s="118">
        <f t="shared" si="14"/>
        <v>1.2345679012345678</v>
      </c>
      <c r="G270" s="86"/>
      <c r="H270" s="189">
        <f t="shared" si="17"/>
        <v>100</v>
      </c>
      <c r="I270" s="183">
        <f>D270</f>
        <v>100</v>
      </c>
      <c r="J270" s="8"/>
      <c r="K270" s="8"/>
      <c r="L270" s="8"/>
      <c r="M270" s="8"/>
      <c r="N270" s="185"/>
    </row>
    <row r="271" spans="1:14" ht="20.25" customHeight="1">
      <c r="A271" s="122" t="s">
        <v>34</v>
      </c>
      <c r="B271" s="123" t="s">
        <v>35</v>
      </c>
      <c r="C271" s="125">
        <v>35000</v>
      </c>
      <c r="D271" s="124">
        <v>35000</v>
      </c>
      <c r="E271" s="117">
        <f t="shared" si="13"/>
        <v>0</v>
      </c>
      <c r="F271" s="118">
        <f t="shared" si="14"/>
        <v>100</v>
      </c>
      <c r="G271" s="86"/>
      <c r="H271" s="189">
        <f t="shared" si="17"/>
        <v>35000</v>
      </c>
      <c r="I271" s="8"/>
      <c r="J271" s="183">
        <f aca="true" t="shared" si="18" ref="J271:J278">D271</f>
        <v>35000</v>
      </c>
      <c r="K271" s="8"/>
      <c r="L271" s="8"/>
      <c r="M271" s="8"/>
      <c r="N271" s="185"/>
    </row>
    <row r="272" spans="1:14" ht="20.25" customHeight="1">
      <c r="A272" s="122" t="s">
        <v>245</v>
      </c>
      <c r="B272" s="123" t="s">
        <v>294</v>
      </c>
      <c r="C272" s="125">
        <v>4000</v>
      </c>
      <c r="D272" s="124">
        <v>100</v>
      </c>
      <c r="E272" s="117">
        <f t="shared" si="13"/>
        <v>-3900</v>
      </c>
      <c r="F272" s="118">
        <f t="shared" si="14"/>
        <v>2.5</v>
      </c>
      <c r="G272" s="86"/>
      <c r="H272" s="189">
        <f t="shared" si="17"/>
        <v>100</v>
      </c>
      <c r="I272" s="8"/>
      <c r="J272" s="183">
        <f t="shared" si="18"/>
        <v>100</v>
      </c>
      <c r="K272" s="8"/>
      <c r="L272" s="8"/>
      <c r="M272" s="8"/>
      <c r="N272" s="185"/>
    </row>
    <row r="273" spans="1:14" ht="20.25" customHeight="1">
      <c r="A273" s="122" t="s">
        <v>68</v>
      </c>
      <c r="B273" s="123" t="s">
        <v>69</v>
      </c>
      <c r="C273" s="125">
        <v>16300</v>
      </c>
      <c r="D273" s="124">
        <v>16300</v>
      </c>
      <c r="E273" s="117">
        <f t="shared" si="13"/>
        <v>0</v>
      </c>
      <c r="F273" s="118">
        <f t="shared" si="14"/>
        <v>100</v>
      </c>
      <c r="G273" s="86"/>
      <c r="H273" s="189">
        <f t="shared" si="17"/>
        <v>16300</v>
      </c>
      <c r="I273" s="8"/>
      <c r="J273" s="183">
        <f t="shared" si="18"/>
        <v>16300</v>
      </c>
      <c r="K273" s="8"/>
      <c r="L273" s="8"/>
      <c r="M273" s="8"/>
      <c r="N273" s="185"/>
    </row>
    <row r="274" spans="1:14" ht="20.25" customHeight="1">
      <c r="A274" s="122" t="s">
        <v>44</v>
      </c>
      <c r="B274" s="123" t="s">
        <v>45</v>
      </c>
      <c r="C274" s="125">
        <v>2000</v>
      </c>
      <c r="D274" s="124">
        <v>0</v>
      </c>
      <c r="E274" s="117">
        <f t="shared" si="13"/>
        <v>-2000</v>
      </c>
      <c r="F274" s="118">
        <f t="shared" si="14"/>
        <v>0</v>
      </c>
      <c r="G274" s="86"/>
      <c r="H274" s="189">
        <f t="shared" si="17"/>
        <v>0</v>
      </c>
      <c r="I274" s="8"/>
      <c r="J274" s="183">
        <f t="shared" si="18"/>
        <v>0</v>
      </c>
      <c r="K274" s="8"/>
      <c r="L274" s="8"/>
      <c r="M274" s="8"/>
      <c r="N274" s="185"/>
    </row>
    <row r="275" spans="1:14" ht="20.25" customHeight="1">
      <c r="A275" s="122" t="s">
        <v>70</v>
      </c>
      <c r="B275" s="123" t="s">
        <v>71</v>
      </c>
      <c r="C275" s="125">
        <v>2600</v>
      </c>
      <c r="D275" s="124">
        <v>2600</v>
      </c>
      <c r="E275" s="117">
        <f aca="true" t="shared" si="19" ref="E275:E336">D275-C275</f>
        <v>0</v>
      </c>
      <c r="F275" s="118">
        <f t="shared" si="14"/>
        <v>100</v>
      </c>
      <c r="G275" s="86"/>
      <c r="H275" s="189">
        <f t="shared" si="17"/>
        <v>2600</v>
      </c>
      <c r="I275" s="8"/>
      <c r="J275" s="183">
        <f t="shared" si="18"/>
        <v>2600</v>
      </c>
      <c r="K275" s="8"/>
      <c r="L275" s="8"/>
      <c r="M275" s="8"/>
      <c r="N275" s="185"/>
    </row>
    <row r="276" spans="1:14" ht="20.25" customHeight="1">
      <c r="A276" s="122" t="s">
        <v>16</v>
      </c>
      <c r="B276" s="123" t="s">
        <v>17</v>
      </c>
      <c r="C276" s="125">
        <v>24000</v>
      </c>
      <c r="D276" s="124">
        <v>19000</v>
      </c>
      <c r="E276" s="117">
        <f t="shared" si="19"/>
        <v>-5000</v>
      </c>
      <c r="F276" s="118">
        <f aca="true" t="shared" si="20" ref="F276:F341">D276*100/C276</f>
        <v>79.16666666666667</v>
      </c>
      <c r="G276" s="86"/>
      <c r="H276" s="189">
        <f t="shared" si="17"/>
        <v>19000</v>
      </c>
      <c r="I276" s="8"/>
      <c r="J276" s="183">
        <f t="shared" si="18"/>
        <v>19000</v>
      </c>
      <c r="K276" s="8"/>
      <c r="L276" s="8"/>
      <c r="M276" s="8"/>
      <c r="N276" s="185"/>
    </row>
    <row r="277" spans="1:14" ht="20.25" customHeight="1">
      <c r="A277" s="122" t="s">
        <v>177</v>
      </c>
      <c r="B277" s="123" t="s">
        <v>178</v>
      </c>
      <c r="C277" s="125">
        <v>100</v>
      </c>
      <c r="D277" s="124">
        <v>0</v>
      </c>
      <c r="E277" s="117">
        <f t="shared" si="19"/>
        <v>-100</v>
      </c>
      <c r="F277" s="118">
        <f t="shared" si="20"/>
        <v>0</v>
      </c>
      <c r="G277" s="86"/>
      <c r="H277" s="189">
        <f t="shared" si="17"/>
        <v>0</v>
      </c>
      <c r="I277" s="8"/>
      <c r="J277" s="183">
        <f t="shared" si="18"/>
        <v>0</v>
      </c>
      <c r="K277" s="8"/>
      <c r="L277" s="8"/>
      <c r="M277" s="8"/>
      <c r="N277" s="185"/>
    </row>
    <row r="278" spans="1:14" ht="20.25" customHeight="1">
      <c r="A278" s="122" t="s">
        <v>214</v>
      </c>
      <c r="B278" s="123" t="s">
        <v>212</v>
      </c>
      <c r="C278" s="125">
        <v>4000</v>
      </c>
      <c r="D278" s="124">
        <v>3500</v>
      </c>
      <c r="E278" s="117">
        <f t="shared" si="19"/>
        <v>-500</v>
      </c>
      <c r="F278" s="118">
        <f t="shared" si="20"/>
        <v>87.5</v>
      </c>
      <c r="G278" s="86"/>
      <c r="H278" s="189">
        <f t="shared" si="17"/>
        <v>3500</v>
      </c>
      <c r="I278" s="8"/>
      <c r="J278" s="183">
        <f t="shared" si="18"/>
        <v>3500</v>
      </c>
      <c r="K278" s="8"/>
      <c r="L278" s="8"/>
      <c r="M278" s="8"/>
      <c r="N278" s="185"/>
    </row>
    <row r="279" spans="1:14" ht="20.25" customHeight="1">
      <c r="A279" s="122"/>
      <c r="B279" s="123" t="s">
        <v>215</v>
      </c>
      <c r="C279" s="125"/>
      <c r="D279" s="124"/>
      <c r="E279" s="117"/>
      <c r="F279" s="118"/>
      <c r="G279" s="86"/>
      <c r="H279" s="189">
        <f t="shared" si="17"/>
        <v>0</v>
      </c>
      <c r="I279" s="8"/>
      <c r="J279" s="8"/>
      <c r="K279" s="8"/>
      <c r="L279" s="8"/>
      <c r="M279" s="8"/>
      <c r="N279" s="185"/>
    </row>
    <row r="280" spans="1:14" ht="20.25" customHeight="1">
      <c r="A280" s="122" t="s">
        <v>36</v>
      </c>
      <c r="B280" s="123" t="s">
        <v>37</v>
      </c>
      <c r="C280" s="125">
        <v>9000</v>
      </c>
      <c r="D280" s="124">
        <v>9000</v>
      </c>
      <c r="E280" s="117">
        <f t="shared" si="19"/>
        <v>0</v>
      </c>
      <c r="F280" s="118">
        <f t="shared" si="20"/>
        <v>100</v>
      </c>
      <c r="G280" s="86"/>
      <c r="H280" s="189">
        <f t="shared" si="17"/>
        <v>9000</v>
      </c>
      <c r="I280" s="8"/>
      <c r="J280" s="183">
        <f>D280</f>
        <v>9000</v>
      </c>
      <c r="K280" s="8"/>
      <c r="L280" s="8"/>
      <c r="M280" s="8"/>
      <c r="N280" s="185"/>
    </row>
    <row r="281" spans="1:14" ht="20.25" customHeight="1">
      <c r="A281" s="122" t="s">
        <v>53</v>
      </c>
      <c r="B281" s="123" t="s">
        <v>54</v>
      </c>
      <c r="C281" s="125">
        <v>0</v>
      </c>
      <c r="D281" s="124">
        <v>500</v>
      </c>
      <c r="E281" s="117">
        <f t="shared" si="19"/>
        <v>500</v>
      </c>
      <c r="F281" s="118" t="e">
        <f t="shared" si="20"/>
        <v>#DIV/0!</v>
      </c>
      <c r="G281" s="86"/>
      <c r="H281" s="189">
        <f t="shared" si="17"/>
        <v>500</v>
      </c>
      <c r="I281" s="8"/>
      <c r="J281" s="183">
        <f>D281</f>
        <v>500</v>
      </c>
      <c r="K281" s="8"/>
      <c r="L281" s="8"/>
      <c r="M281" s="8"/>
      <c r="N281" s="185"/>
    </row>
    <row r="282" spans="1:14" ht="20.25" customHeight="1">
      <c r="A282" s="122" t="s">
        <v>38</v>
      </c>
      <c r="B282" s="123" t="s">
        <v>72</v>
      </c>
      <c r="C282" s="125">
        <v>56400</v>
      </c>
      <c r="D282" s="124">
        <v>53600</v>
      </c>
      <c r="E282" s="117">
        <f t="shared" si="19"/>
        <v>-2800</v>
      </c>
      <c r="F282" s="118">
        <f t="shared" si="20"/>
        <v>95.0354609929078</v>
      </c>
      <c r="G282" s="86"/>
      <c r="H282" s="189">
        <f t="shared" si="17"/>
        <v>53600</v>
      </c>
      <c r="I282" s="8"/>
      <c r="J282" s="183">
        <f>D282</f>
        <v>53600</v>
      </c>
      <c r="K282" s="8"/>
      <c r="L282" s="8"/>
      <c r="M282" s="8"/>
      <c r="N282" s="185"/>
    </row>
    <row r="283" spans="1:14" ht="20.25" customHeight="1">
      <c r="A283" s="122" t="s">
        <v>223</v>
      </c>
      <c r="B283" s="123" t="s">
        <v>224</v>
      </c>
      <c r="C283" s="125">
        <v>100</v>
      </c>
      <c r="D283" s="124">
        <v>100</v>
      </c>
      <c r="E283" s="117">
        <f t="shared" si="19"/>
        <v>0</v>
      </c>
      <c r="F283" s="118">
        <f t="shared" si="20"/>
        <v>100</v>
      </c>
      <c r="G283" s="86"/>
      <c r="H283" s="189">
        <f t="shared" si="17"/>
        <v>100</v>
      </c>
      <c r="I283" s="8"/>
      <c r="J283" s="183">
        <f>D283</f>
        <v>100</v>
      </c>
      <c r="K283" s="8"/>
      <c r="L283" s="8"/>
      <c r="M283" s="8"/>
      <c r="N283" s="185"/>
    </row>
    <row r="284" spans="1:14" ht="20.25" customHeight="1">
      <c r="A284" s="122"/>
      <c r="B284" s="123" t="s">
        <v>225</v>
      </c>
      <c r="C284" s="125"/>
      <c r="D284" s="124"/>
      <c r="E284" s="117"/>
      <c r="F284" s="118"/>
      <c r="G284" s="86"/>
      <c r="H284" s="189">
        <f t="shared" si="17"/>
        <v>0</v>
      </c>
      <c r="I284" s="8"/>
      <c r="J284" s="8"/>
      <c r="K284" s="8"/>
      <c r="L284" s="8"/>
      <c r="M284" s="8"/>
      <c r="N284" s="185"/>
    </row>
    <row r="285" spans="1:14" ht="20.25" customHeight="1">
      <c r="A285" s="122" t="s">
        <v>216</v>
      </c>
      <c r="B285" s="123" t="s">
        <v>218</v>
      </c>
      <c r="C285" s="125">
        <v>2500</v>
      </c>
      <c r="D285" s="124">
        <v>1500</v>
      </c>
      <c r="E285" s="117">
        <f t="shared" si="19"/>
        <v>-1000</v>
      </c>
      <c r="F285" s="118">
        <f t="shared" si="20"/>
        <v>60</v>
      </c>
      <c r="G285" s="86"/>
      <c r="H285" s="189">
        <f t="shared" si="17"/>
        <v>1500</v>
      </c>
      <c r="I285" s="8"/>
      <c r="J285" s="183">
        <f>D285</f>
        <v>1500</v>
      </c>
      <c r="K285" s="8"/>
      <c r="L285" s="8"/>
      <c r="M285" s="8"/>
      <c r="N285" s="185"/>
    </row>
    <row r="286" spans="1:14" ht="20.25" customHeight="1">
      <c r="A286" s="122"/>
      <c r="B286" s="123" t="s">
        <v>217</v>
      </c>
      <c r="C286" s="125"/>
      <c r="D286" s="124"/>
      <c r="E286" s="117"/>
      <c r="F286" s="118"/>
      <c r="G286" s="86"/>
      <c r="H286" s="189">
        <f t="shared" si="17"/>
        <v>0</v>
      </c>
      <c r="I286" s="8"/>
      <c r="J286" s="8"/>
      <c r="K286" s="8"/>
      <c r="L286" s="8"/>
      <c r="M286" s="8"/>
      <c r="N286" s="185"/>
    </row>
    <row r="287" spans="1:14" ht="20.25" customHeight="1">
      <c r="A287" s="122" t="s">
        <v>219</v>
      </c>
      <c r="B287" s="123" t="s">
        <v>220</v>
      </c>
      <c r="C287" s="125">
        <v>2500</v>
      </c>
      <c r="D287" s="124">
        <v>2500</v>
      </c>
      <c r="E287" s="117">
        <f t="shared" si="19"/>
        <v>0</v>
      </c>
      <c r="F287" s="118">
        <f t="shared" si="20"/>
        <v>100</v>
      </c>
      <c r="G287" s="86"/>
      <c r="H287" s="189">
        <f t="shared" si="17"/>
        <v>2500</v>
      </c>
      <c r="I287" s="8"/>
      <c r="J287" s="183">
        <f>D287</f>
        <v>2500</v>
      </c>
      <c r="K287" s="8"/>
      <c r="L287" s="8"/>
      <c r="M287" s="8"/>
      <c r="N287" s="185"/>
    </row>
    <row r="288" spans="1:14" ht="20.25" customHeight="1">
      <c r="A288" s="122"/>
      <c r="B288" s="123" t="s">
        <v>221</v>
      </c>
      <c r="C288" s="125"/>
      <c r="D288" s="124"/>
      <c r="E288" s="117"/>
      <c r="F288" s="118"/>
      <c r="G288" s="86"/>
      <c r="H288" s="189">
        <f t="shared" si="17"/>
        <v>0</v>
      </c>
      <c r="I288" s="8"/>
      <c r="J288" s="8"/>
      <c r="K288" s="8"/>
      <c r="L288" s="8"/>
      <c r="M288" s="8"/>
      <c r="N288" s="185"/>
    </row>
    <row r="289" spans="1:14" ht="60.75" customHeight="1">
      <c r="A289" s="139" t="s">
        <v>89</v>
      </c>
      <c r="B289" s="140" t="s">
        <v>297</v>
      </c>
      <c r="C289" s="142">
        <f>370000+100000</f>
        <v>470000</v>
      </c>
      <c r="D289" s="141">
        <f>370000+100000</f>
        <v>470000</v>
      </c>
      <c r="E289" s="145">
        <f t="shared" si="19"/>
        <v>0</v>
      </c>
      <c r="F289" s="146">
        <f t="shared" si="20"/>
        <v>100</v>
      </c>
      <c r="G289" s="86" t="s">
        <v>322</v>
      </c>
      <c r="H289" s="189">
        <f t="shared" si="17"/>
        <v>0</v>
      </c>
      <c r="I289" s="183"/>
      <c r="J289" s="183"/>
      <c r="K289" s="183"/>
      <c r="L289" s="183"/>
      <c r="M289" s="183"/>
      <c r="N289" s="186">
        <f>D289</f>
        <v>470000</v>
      </c>
    </row>
    <row r="290" spans="1:14" ht="20.25" customHeight="1">
      <c r="A290" s="122" t="s">
        <v>73</v>
      </c>
      <c r="B290" s="123" t="s">
        <v>74</v>
      </c>
      <c r="C290" s="125"/>
      <c r="D290" s="124"/>
      <c r="E290" s="117">
        <f t="shared" si="19"/>
        <v>0</v>
      </c>
      <c r="F290" s="118" t="e">
        <f t="shared" si="20"/>
        <v>#DIV/0!</v>
      </c>
      <c r="G290" s="86"/>
      <c r="H290" s="189">
        <f t="shared" si="17"/>
        <v>0</v>
      </c>
      <c r="I290" s="8"/>
      <c r="J290" s="8"/>
      <c r="K290" s="8"/>
      <c r="L290" s="8"/>
      <c r="M290" s="8"/>
      <c r="N290" s="186">
        <f>D290</f>
        <v>0</v>
      </c>
    </row>
    <row r="291" spans="1:14" ht="20.25" customHeight="1">
      <c r="A291" s="122"/>
      <c r="B291" s="123" t="s">
        <v>75</v>
      </c>
      <c r="C291" s="125"/>
      <c r="D291" s="124"/>
      <c r="E291" s="117"/>
      <c r="F291" s="118"/>
      <c r="G291" s="86"/>
      <c r="H291" s="189">
        <f t="shared" si="17"/>
        <v>0</v>
      </c>
      <c r="I291" s="8"/>
      <c r="J291" s="8"/>
      <c r="K291" s="8"/>
      <c r="L291" s="8"/>
      <c r="M291" s="8"/>
      <c r="N291" s="185"/>
    </row>
    <row r="292" spans="1:14" ht="20.25" customHeight="1">
      <c r="A292" s="122"/>
      <c r="B292" s="123"/>
      <c r="C292" s="125"/>
      <c r="D292" s="124"/>
      <c r="E292" s="117"/>
      <c r="F292" s="118"/>
      <c r="G292" s="86"/>
      <c r="H292" s="189">
        <f t="shared" si="17"/>
        <v>0</v>
      </c>
      <c r="I292" s="8"/>
      <c r="J292" s="8"/>
      <c r="K292" s="8"/>
      <c r="L292" s="8"/>
      <c r="M292" s="8"/>
      <c r="N292" s="185"/>
    </row>
    <row r="293" spans="1:14" ht="20.25" customHeight="1">
      <c r="A293" s="126" t="s">
        <v>298</v>
      </c>
      <c r="B293" s="127" t="s">
        <v>299</v>
      </c>
      <c r="C293" s="129">
        <f>SUM(C294:C297)</f>
        <v>165000</v>
      </c>
      <c r="D293" s="128">
        <f>SUM(D294:D297)</f>
        <v>142200</v>
      </c>
      <c r="E293" s="117">
        <f t="shared" si="19"/>
        <v>-22800</v>
      </c>
      <c r="F293" s="118">
        <f t="shared" si="20"/>
        <v>86.18181818181819</v>
      </c>
      <c r="G293" s="86"/>
      <c r="H293" s="189">
        <f t="shared" si="17"/>
        <v>0</v>
      </c>
      <c r="I293" s="8"/>
      <c r="J293" s="8"/>
      <c r="K293" s="8"/>
      <c r="L293" s="8"/>
      <c r="M293" s="8"/>
      <c r="N293" s="185"/>
    </row>
    <row r="294" spans="1:14" ht="20.25" customHeight="1">
      <c r="A294" s="122" t="s">
        <v>26</v>
      </c>
      <c r="B294" s="123" t="s">
        <v>27</v>
      </c>
      <c r="C294" s="125">
        <v>3000</v>
      </c>
      <c r="D294" s="124">
        <v>0</v>
      </c>
      <c r="E294" s="117">
        <f t="shared" si="19"/>
        <v>-3000</v>
      </c>
      <c r="F294" s="118">
        <f t="shared" si="20"/>
        <v>0</v>
      </c>
      <c r="G294" s="86"/>
      <c r="H294" s="189">
        <f t="shared" si="17"/>
        <v>0</v>
      </c>
      <c r="I294" s="183">
        <f>D294</f>
        <v>0</v>
      </c>
      <c r="J294" s="8"/>
      <c r="K294" s="8"/>
      <c r="L294" s="8"/>
      <c r="M294" s="8"/>
      <c r="N294" s="185"/>
    </row>
    <row r="295" spans="1:14" ht="20.25" customHeight="1">
      <c r="A295" s="122" t="s">
        <v>28</v>
      </c>
      <c r="B295" s="123" t="s">
        <v>29</v>
      </c>
      <c r="C295" s="125">
        <v>100</v>
      </c>
      <c r="D295" s="124">
        <v>0</v>
      </c>
      <c r="E295" s="117">
        <f t="shared" si="19"/>
        <v>-100</v>
      </c>
      <c r="F295" s="118">
        <f t="shared" si="20"/>
        <v>0</v>
      </c>
      <c r="G295" s="86"/>
      <c r="H295" s="189">
        <f t="shared" si="17"/>
        <v>0</v>
      </c>
      <c r="I295" s="183">
        <f>D295</f>
        <v>0</v>
      </c>
      <c r="J295" s="8"/>
      <c r="K295" s="8"/>
      <c r="L295" s="8"/>
      <c r="M295" s="8"/>
      <c r="N295" s="185"/>
    </row>
    <row r="296" spans="1:14" ht="20.25" customHeight="1">
      <c r="A296" s="122" t="s">
        <v>32</v>
      </c>
      <c r="B296" s="123" t="s">
        <v>33</v>
      </c>
      <c r="C296" s="125">
        <v>18900</v>
      </c>
      <c r="D296" s="124">
        <v>0</v>
      </c>
      <c r="E296" s="117">
        <f t="shared" si="19"/>
        <v>-18900</v>
      </c>
      <c r="F296" s="118">
        <f t="shared" si="20"/>
        <v>0</v>
      </c>
      <c r="G296" s="86"/>
      <c r="H296" s="189">
        <f t="shared" si="17"/>
        <v>0</v>
      </c>
      <c r="I296" s="183">
        <f>D296</f>
        <v>0</v>
      </c>
      <c r="J296" s="8"/>
      <c r="K296" s="8"/>
      <c r="L296" s="8"/>
      <c r="M296" s="8"/>
      <c r="N296" s="185"/>
    </row>
    <row r="297" spans="1:14" ht="20.25" customHeight="1">
      <c r="A297" s="155" t="s">
        <v>16</v>
      </c>
      <c r="B297" s="156" t="s">
        <v>17</v>
      </c>
      <c r="C297" s="125">
        <v>143000</v>
      </c>
      <c r="D297" s="124">
        <v>142200</v>
      </c>
      <c r="E297" s="117">
        <f t="shared" si="19"/>
        <v>-800</v>
      </c>
      <c r="F297" s="118">
        <f t="shared" si="20"/>
        <v>99.44055944055944</v>
      </c>
      <c r="G297" s="86"/>
      <c r="H297" s="189">
        <f t="shared" si="17"/>
        <v>142200</v>
      </c>
      <c r="I297" s="8"/>
      <c r="J297" s="183">
        <f>D297</f>
        <v>142200</v>
      </c>
      <c r="K297" s="8"/>
      <c r="L297" s="8"/>
      <c r="M297" s="8"/>
      <c r="N297" s="185"/>
    </row>
    <row r="298" spans="1:14" ht="20.25" customHeight="1">
      <c r="A298" s="122"/>
      <c r="B298" s="123"/>
      <c r="C298" s="125"/>
      <c r="D298" s="124"/>
      <c r="E298" s="117"/>
      <c r="F298" s="118"/>
      <c r="G298" s="86"/>
      <c r="H298" s="189">
        <f t="shared" si="17"/>
        <v>0</v>
      </c>
      <c r="I298" s="8"/>
      <c r="J298" s="8"/>
      <c r="K298" s="8"/>
      <c r="L298" s="8"/>
      <c r="M298" s="8"/>
      <c r="N298" s="185"/>
    </row>
    <row r="299" spans="1:14" ht="20.25" customHeight="1">
      <c r="A299" s="126" t="s">
        <v>300</v>
      </c>
      <c r="B299" s="127" t="s">
        <v>301</v>
      </c>
      <c r="C299" s="129">
        <f>SUM(C300:C322)</f>
        <v>235300</v>
      </c>
      <c r="D299" s="128">
        <f>SUM(D300:D322)</f>
        <v>252401</v>
      </c>
      <c r="E299" s="117">
        <f t="shared" si="19"/>
        <v>17101</v>
      </c>
      <c r="F299" s="118">
        <f t="shared" si="20"/>
        <v>107.26774330641734</v>
      </c>
      <c r="G299" s="86"/>
      <c r="H299" s="189">
        <f t="shared" si="17"/>
        <v>0</v>
      </c>
      <c r="I299" s="8"/>
      <c r="J299" s="8"/>
      <c r="K299" s="8"/>
      <c r="L299" s="8"/>
      <c r="M299" s="8"/>
      <c r="N299" s="185"/>
    </row>
    <row r="300" spans="1:14" ht="20.25" customHeight="1">
      <c r="A300" s="155" t="s">
        <v>231</v>
      </c>
      <c r="B300" s="156" t="s">
        <v>293</v>
      </c>
      <c r="C300" s="125">
        <v>1000</v>
      </c>
      <c r="D300" s="124">
        <f>1000</f>
        <v>1000</v>
      </c>
      <c r="E300" s="117">
        <f t="shared" si="19"/>
        <v>0</v>
      </c>
      <c r="F300" s="118">
        <f t="shared" si="20"/>
        <v>100</v>
      </c>
      <c r="G300" s="86"/>
      <c r="H300" s="189">
        <f t="shared" si="17"/>
        <v>1000</v>
      </c>
      <c r="I300" s="8"/>
      <c r="J300" s="8"/>
      <c r="K300" s="8"/>
      <c r="L300" s="183">
        <f>D300</f>
        <v>1000</v>
      </c>
      <c r="M300" s="8"/>
      <c r="N300" s="185"/>
    </row>
    <row r="301" spans="1:14" ht="20.25" customHeight="1">
      <c r="A301" s="122" t="s">
        <v>22</v>
      </c>
      <c r="B301" s="123" t="s">
        <v>66</v>
      </c>
      <c r="C301" s="125">
        <f>142000+1400+2700</f>
        <v>146100</v>
      </c>
      <c r="D301" s="124">
        <f>160700+1600</f>
        <v>162300</v>
      </c>
      <c r="E301" s="117">
        <f t="shared" si="19"/>
        <v>16200</v>
      </c>
      <c r="F301" s="118">
        <f t="shared" si="20"/>
        <v>111.08829568788501</v>
      </c>
      <c r="G301" s="86"/>
      <c r="H301" s="189">
        <f t="shared" si="17"/>
        <v>162300</v>
      </c>
      <c r="I301" s="183">
        <f>D301</f>
        <v>162300</v>
      </c>
      <c r="J301" s="8"/>
      <c r="K301" s="8"/>
      <c r="L301" s="8"/>
      <c r="M301" s="8"/>
      <c r="N301" s="185"/>
    </row>
    <row r="302" spans="1:14" ht="20.25" customHeight="1">
      <c r="A302" s="122" t="s">
        <v>24</v>
      </c>
      <c r="B302" s="123" t="s">
        <v>67</v>
      </c>
      <c r="C302" s="125">
        <v>9200</v>
      </c>
      <c r="D302" s="124">
        <v>10000</v>
      </c>
      <c r="E302" s="117">
        <f t="shared" si="19"/>
        <v>800</v>
      </c>
      <c r="F302" s="118">
        <f t="shared" si="20"/>
        <v>108.69565217391305</v>
      </c>
      <c r="G302" s="86"/>
      <c r="H302" s="189">
        <f t="shared" si="17"/>
        <v>10000</v>
      </c>
      <c r="I302" s="183">
        <f>D302</f>
        <v>10000</v>
      </c>
      <c r="J302" s="8"/>
      <c r="K302" s="8"/>
      <c r="L302" s="8"/>
      <c r="M302" s="8"/>
      <c r="N302" s="185"/>
    </row>
    <row r="303" spans="1:14" ht="20.25" customHeight="1">
      <c r="A303" s="122" t="s">
        <v>26</v>
      </c>
      <c r="B303" s="123" t="s">
        <v>27</v>
      </c>
      <c r="C303" s="125">
        <v>26400</v>
      </c>
      <c r="D303" s="124">
        <v>27000</v>
      </c>
      <c r="E303" s="117">
        <f t="shared" si="19"/>
        <v>600</v>
      </c>
      <c r="F303" s="118">
        <f t="shared" si="20"/>
        <v>102.27272727272727</v>
      </c>
      <c r="G303" s="86"/>
      <c r="H303" s="189">
        <f t="shared" si="17"/>
        <v>27000</v>
      </c>
      <c r="I303" s="183">
        <f>D303</f>
        <v>27000</v>
      </c>
      <c r="J303" s="8"/>
      <c r="K303" s="8"/>
      <c r="L303" s="8"/>
      <c r="M303" s="8"/>
      <c r="N303" s="185"/>
    </row>
    <row r="304" spans="1:14" ht="20.25" customHeight="1">
      <c r="A304" s="122" t="s">
        <v>28</v>
      </c>
      <c r="B304" s="123" t="s">
        <v>29</v>
      </c>
      <c r="C304" s="125">
        <v>4100</v>
      </c>
      <c r="D304" s="124">
        <v>4300</v>
      </c>
      <c r="E304" s="117">
        <f t="shared" si="19"/>
        <v>200</v>
      </c>
      <c r="F304" s="118">
        <f t="shared" si="20"/>
        <v>104.8780487804878</v>
      </c>
      <c r="G304" s="86"/>
      <c r="H304" s="189">
        <f t="shared" si="17"/>
        <v>4300</v>
      </c>
      <c r="I304" s="183">
        <f>D304</f>
        <v>4300</v>
      </c>
      <c r="J304" s="8"/>
      <c r="K304" s="8"/>
      <c r="L304" s="8"/>
      <c r="M304" s="8"/>
      <c r="N304" s="185"/>
    </row>
    <row r="305" spans="1:14" ht="20.25" customHeight="1">
      <c r="A305" s="122" t="s">
        <v>32</v>
      </c>
      <c r="B305" s="123" t="s">
        <v>33</v>
      </c>
      <c r="C305" s="125">
        <v>3200</v>
      </c>
      <c r="D305" s="124">
        <v>5000</v>
      </c>
      <c r="E305" s="117">
        <f t="shared" si="19"/>
        <v>1800</v>
      </c>
      <c r="F305" s="118">
        <f t="shared" si="20"/>
        <v>156.25</v>
      </c>
      <c r="G305" s="86"/>
      <c r="H305" s="189">
        <f t="shared" si="17"/>
        <v>5000</v>
      </c>
      <c r="I305" s="183">
        <f>D305</f>
        <v>5000</v>
      </c>
      <c r="J305" s="8"/>
      <c r="K305" s="8"/>
      <c r="L305" s="8"/>
      <c r="M305" s="8"/>
      <c r="N305" s="185"/>
    </row>
    <row r="306" spans="1:14" ht="20.25" customHeight="1">
      <c r="A306" s="122" t="s">
        <v>34</v>
      </c>
      <c r="B306" s="123" t="s">
        <v>35</v>
      </c>
      <c r="C306" s="125">
        <v>8000</v>
      </c>
      <c r="D306" s="124">
        <v>8000</v>
      </c>
      <c r="E306" s="117">
        <f t="shared" si="19"/>
        <v>0</v>
      </c>
      <c r="F306" s="118">
        <f t="shared" si="20"/>
        <v>100</v>
      </c>
      <c r="G306" s="86"/>
      <c r="H306" s="189">
        <f t="shared" si="17"/>
        <v>8000</v>
      </c>
      <c r="I306" s="8"/>
      <c r="J306" s="183">
        <f aca="true" t="shared" si="21" ref="J306:J312">D306</f>
        <v>8000</v>
      </c>
      <c r="K306" s="8"/>
      <c r="L306" s="8"/>
      <c r="M306" s="8"/>
      <c r="N306" s="185"/>
    </row>
    <row r="307" spans="1:14" ht="20.25" customHeight="1">
      <c r="A307" s="122" t="s">
        <v>68</v>
      </c>
      <c r="B307" s="123" t="s">
        <v>69</v>
      </c>
      <c r="C307" s="125">
        <v>1500</v>
      </c>
      <c r="D307" s="124">
        <v>1500</v>
      </c>
      <c r="E307" s="117">
        <f t="shared" si="19"/>
        <v>0</v>
      </c>
      <c r="F307" s="118">
        <f t="shared" si="20"/>
        <v>100</v>
      </c>
      <c r="G307" s="86"/>
      <c r="H307" s="189">
        <f t="shared" si="17"/>
        <v>1500</v>
      </c>
      <c r="I307" s="8"/>
      <c r="J307" s="183">
        <f t="shared" si="21"/>
        <v>1500</v>
      </c>
      <c r="K307" s="8"/>
      <c r="L307" s="8"/>
      <c r="M307" s="8"/>
      <c r="N307" s="185"/>
    </row>
    <row r="308" spans="1:14" ht="20.25" customHeight="1">
      <c r="A308" s="122" t="s">
        <v>70</v>
      </c>
      <c r="B308" s="123" t="s">
        <v>71</v>
      </c>
      <c r="C308" s="125">
        <v>200</v>
      </c>
      <c r="D308" s="124">
        <v>200</v>
      </c>
      <c r="E308" s="117">
        <f t="shared" si="19"/>
        <v>0</v>
      </c>
      <c r="F308" s="118">
        <f t="shared" si="20"/>
        <v>100</v>
      </c>
      <c r="G308" s="86"/>
      <c r="H308" s="189">
        <f t="shared" si="17"/>
        <v>200</v>
      </c>
      <c r="I308" s="8"/>
      <c r="J308" s="183">
        <f t="shared" si="21"/>
        <v>200</v>
      </c>
      <c r="K308" s="8"/>
      <c r="L308" s="8"/>
      <c r="M308" s="8"/>
      <c r="N308" s="185"/>
    </row>
    <row r="309" spans="1:14" ht="20.25" customHeight="1">
      <c r="A309" s="122" t="s">
        <v>16</v>
      </c>
      <c r="B309" s="123" t="s">
        <v>17</v>
      </c>
      <c r="C309" s="125">
        <v>16000</v>
      </c>
      <c r="D309" s="124">
        <v>12000</v>
      </c>
      <c r="E309" s="117">
        <f t="shared" si="19"/>
        <v>-4000</v>
      </c>
      <c r="F309" s="118">
        <f t="shared" si="20"/>
        <v>75</v>
      </c>
      <c r="G309" s="86"/>
      <c r="H309" s="189">
        <f t="shared" si="17"/>
        <v>12000</v>
      </c>
      <c r="I309" s="8"/>
      <c r="J309" s="183">
        <f t="shared" si="21"/>
        <v>12000</v>
      </c>
      <c r="K309" s="8"/>
      <c r="L309" s="8"/>
      <c r="M309" s="8"/>
      <c r="N309" s="185"/>
    </row>
    <row r="310" spans="1:14" ht="20.25" customHeight="1">
      <c r="A310" s="122" t="s">
        <v>177</v>
      </c>
      <c r="B310" s="123" t="s">
        <v>178</v>
      </c>
      <c r="C310" s="125">
        <v>0</v>
      </c>
      <c r="D310" s="124">
        <v>0</v>
      </c>
      <c r="E310" s="117">
        <f t="shared" si="19"/>
        <v>0</v>
      </c>
      <c r="F310" s="118" t="e">
        <f t="shared" si="20"/>
        <v>#DIV/0!</v>
      </c>
      <c r="G310" s="86"/>
      <c r="H310" s="189">
        <f t="shared" si="17"/>
        <v>0</v>
      </c>
      <c r="I310" s="8"/>
      <c r="J310" s="183">
        <f t="shared" si="21"/>
        <v>0</v>
      </c>
      <c r="K310" s="8"/>
      <c r="L310" s="8"/>
      <c r="M310" s="8"/>
      <c r="N310" s="185"/>
    </row>
    <row r="311" spans="1:14" ht="20.25" customHeight="1">
      <c r="A311" s="122" t="s">
        <v>53</v>
      </c>
      <c r="B311" s="123" t="s">
        <v>54</v>
      </c>
      <c r="C311" s="125">
        <v>0</v>
      </c>
      <c r="D311" s="124">
        <v>100</v>
      </c>
      <c r="E311" s="117">
        <f t="shared" si="19"/>
        <v>100</v>
      </c>
      <c r="F311" s="118" t="e">
        <f t="shared" si="20"/>
        <v>#DIV/0!</v>
      </c>
      <c r="G311" s="86"/>
      <c r="H311" s="189">
        <f t="shared" si="17"/>
        <v>100</v>
      </c>
      <c r="I311" s="8"/>
      <c r="J311" s="183">
        <f t="shared" si="21"/>
        <v>100</v>
      </c>
      <c r="K311" s="8"/>
      <c r="L311" s="8"/>
      <c r="M311" s="8"/>
      <c r="N311" s="185"/>
    </row>
    <row r="312" spans="1:14" ht="20.25" customHeight="1">
      <c r="A312" s="122" t="s">
        <v>214</v>
      </c>
      <c r="B312" s="123" t="s">
        <v>212</v>
      </c>
      <c r="C312" s="125">
        <v>3500</v>
      </c>
      <c r="D312" s="124">
        <v>2000</v>
      </c>
      <c r="E312" s="117">
        <f t="shared" si="19"/>
        <v>-1500</v>
      </c>
      <c r="F312" s="118">
        <f t="shared" si="20"/>
        <v>57.142857142857146</v>
      </c>
      <c r="G312" s="86"/>
      <c r="H312" s="189">
        <f t="shared" si="17"/>
        <v>2000</v>
      </c>
      <c r="I312" s="8"/>
      <c r="J312" s="183">
        <f t="shared" si="21"/>
        <v>2000</v>
      </c>
      <c r="K312" s="8"/>
      <c r="L312" s="8"/>
      <c r="M312" s="8"/>
      <c r="N312" s="185"/>
    </row>
    <row r="313" spans="1:14" ht="20.25" customHeight="1">
      <c r="A313" s="122"/>
      <c r="B313" s="123" t="s">
        <v>215</v>
      </c>
      <c r="C313" s="125"/>
      <c r="D313" s="124"/>
      <c r="E313" s="117"/>
      <c r="F313" s="118"/>
      <c r="G313" s="86"/>
      <c r="H313" s="189">
        <f t="shared" si="17"/>
        <v>0</v>
      </c>
      <c r="I313" s="8"/>
      <c r="J313" s="8"/>
      <c r="K313" s="8"/>
      <c r="L313" s="8"/>
      <c r="M313" s="8"/>
      <c r="N313" s="185"/>
    </row>
    <row r="314" spans="1:14" ht="20.25" customHeight="1">
      <c r="A314" s="122" t="s">
        <v>36</v>
      </c>
      <c r="B314" s="123" t="s">
        <v>37</v>
      </c>
      <c r="C314" s="125">
        <v>4500</v>
      </c>
      <c r="D314" s="124">
        <v>6500</v>
      </c>
      <c r="E314" s="117">
        <f t="shared" si="19"/>
        <v>2000</v>
      </c>
      <c r="F314" s="118">
        <f t="shared" si="20"/>
        <v>144.44444444444446</v>
      </c>
      <c r="G314" s="86"/>
      <c r="H314" s="189">
        <f t="shared" si="17"/>
        <v>6500</v>
      </c>
      <c r="I314" s="8"/>
      <c r="J314" s="183">
        <f>D314</f>
        <v>6500</v>
      </c>
      <c r="K314" s="8"/>
      <c r="L314" s="8"/>
      <c r="M314" s="8"/>
      <c r="N314" s="185"/>
    </row>
    <row r="315" spans="1:14" ht="20.25" customHeight="1">
      <c r="A315" s="122" t="s">
        <v>38</v>
      </c>
      <c r="B315" s="123" t="s">
        <v>72</v>
      </c>
      <c r="C315" s="125">
        <v>3600</v>
      </c>
      <c r="D315" s="124">
        <v>4001</v>
      </c>
      <c r="E315" s="117">
        <f t="shared" si="19"/>
        <v>401</v>
      </c>
      <c r="F315" s="118">
        <f t="shared" si="20"/>
        <v>111.13888888888889</v>
      </c>
      <c r="G315" s="86"/>
      <c r="H315" s="189">
        <f t="shared" si="17"/>
        <v>4001</v>
      </c>
      <c r="I315" s="8"/>
      <c r="J315" s="183">
        <f>D315</f>
        <v>4001</v>
      </c>
      <c r="K315" s="8"/>
      <c r="L315" s="8"/>
      <c r="M315" s="8"/>
      <c r="N315" s="185"/>
    </row>
    <row r="316" spans="1:14" ht="20.25" customHeight="1">
      <c r="A316" s="122" t="s">
        <v>223</v>
      </c>
      <c r="B316" s="123" t="s">
        <v>224</v>
      </c>
      <c r="C316" s="125">
        <v>3000</v>
      </c>
      <c r="D316" s="124">
        <v>5000</v>
      </c>
      <c r="E316" s="117">
        <f t="shared" si="19"/>
        <v>2000</v>
      </c>
      <c r="F316" s="118">
        <f t="shared" si="20"/>
        <v>166.66666666666666</v>
      </c>
      <c r="G316" s="86"/>
      <c r="H316" s="189">
        <f t="shared" si="17"/>
        <v>5000</v>
      </c>
      <c r="I316" s="8"/>
      <c r="J316" s="183">
        <f>D316</f>
        <v>5000</v>
      </c>
      <c r="K316" s="8"/>
      <c r="L316" s="8"/>
      <c r="M316" s="8"/>
      <c r="N316" s="185"/>
    </row>
    <row r="317" spans="1:14" ht="20.25" customHeight="1">
      <c r="A317" s="122"/>
      <c r="B317" s="123" t="s">
        <v>225</v>
      </c>
      <c r="C317" s="125"/>
      <c r="D317" s="124"/>
      <c r="E317" s="117"/>
      <c r="F317" s="118"/>
      <c r="G317" s="86"/>
      <c r="H317" s="189">
        <f t="shared" si="17"/>
        <v>0</v>
      </c>
      <c r="I317" s="8"/>
      <c r="J317" s="8"/>
      <c r="K317" s="8"/>
      <c r="L317" s="8"/>
      <c r="M317" s="8"/>
      <c r="N317" s="185"/>
    </row>
    <row r="318" spans="1:14" ht="20.25" customHeight="1">
      <c r="A318" s="122" t="s">
        <v>216</v>
      </c>
      <c r="B318" s="123" t="s">
        <v>218</v>
      </c>
      <c r="C318" s="125">
        <v>3000</v>
      </c>
      <c r="D318" s="124">
        <v>1500</v>
      </c>
      <c r="E318" s="117">
        <f t="shared" si="19"/>
        <v>-1500</v>
      </c>
      <c r="F318" s="118">
        <f t="shared" si="20"/>
        <v>50</v>
      </c>
      <c r="G318" s="86"/>
      <c r="H318" s="189">
        <f t="shared" si="17"/>
        <v>1500</v>
      </c>
      <c r="I318" s="8"/>
      <c r="J318" s="183">
        <f>D318</f>
        <v>1500</v>
      </c>
      <c r="K318" s="8"/>
      <c r="L318" s="8"/>
      <c r="M318" s="8"/>
      <c r="N318" s="185"/>
    </row>
    <row r="319" spans="1:14" ht="20.25" customHeight="1">
      <c r="A319" s="122"/>
      <c r="B319" s="123" t="s">
        <v>217</v>
      </c>
      <c r="C319" s="125"/>
      <c r="D319" s="124"/>
      <c r="E319" s="117"/>
      <c r="F319" s="118"/>
      <c r="G319" s="86"/>
      <c r="H319" s="189">
        <f t="shared" si="17"/>
        <v>0</v>
      </c>
      <c r="I319" s="8"/>
      <c r="J319" s="8"/>
      <c r="K319" s="8"/>
      <c r="L319" s="8"/>
      <c r="M319" s="8"/>
      <c r="N319" s="185"/>
    </row>
    <row r="320" spans="1:14" ht="20.25" customHeight="1">
      <c r="A320" s="122" t="s">
        <v>219</v>
      </c>
      <c r="B320" s="123" t="s">
        <v>220</v>
      </c>
      <c r="C320" s="125">
        <v>2000</v>
      </c>
      <c r="D320" s="124">
        <v>2000</v>
      </c>
      <c r="E320" s="117">
        <f t="shared" si="19"/>
        <v>0</v>
      </c>
      <c r="F320" s="118">
        <f t="shared" si="20"/>
        <v>100</v>
      </c>
      <c r="G320" s="86"/>
      <c r="H320" s="189">
        <f t="shared" si="17"/>
        <v>2000</v>
      </c>
      <c r="I320" s="8"/>
      <c r="J320" s="183">
        <f>D320</f>
        <v>2000</v>
      </c>
      <c r="K320" s="8"/>
      <c r="L320" s="8"/>
      <c r="M320" s="8"/>
      <c r="N320" s="185"/>
    </row>
    <row r="321" spans="1:14" ht="20.25" customHeight="1">
      <c r="A321" s="122"/>
      <c r="B321" s="123" t="s">
        <v>221</v>
      </c>
      <c r="C321" s="125"/>
      <c r="D321" s="124"/>
      <c r="E321" s="117"/>
      <c r="F321" s="118"/>
      <c r="G321" s="86"/>
      <c r="H321" s="189">
        <f t="shared" si="17"/>
        <v>0</v>
      </c>
      <c r="I321" s="8"/>
      <c r="J321" s="8"/>
      <c r="K321" s="8"/>
      <c r="L321" s="8"/>
      <c r="M321" s="8"/>
      <c r="N321" s="185"/>
    </row>
    <row r="322" spans="1:14" ht="20.25" customHeight="1">
      <c r="A322" s="122" t="s">
        <v>73</v>
      </c>
      <c r="B322" s="123" t="s">
        <v>74</v>
      </c>
      <c r="C322" s="125"/>
      <c r="D322" s="124"/>
      <c r="E322" s="117">
        <f t="shared" si="19"/>
        <v>0</v>
      </c>
      <c r="F322" s="118" t="e">
        <f t="shared" si="20"/>
        <v>#DIV/0!</v>
      </c>
      <c r="G322" s="86"/>
      <c r="H322" s="189">
        <f t="shared" si="17"/>
        <v>0</v>
      </c>
      <c r="I322" s="8"/>
      <c r="J322" s="8"/>
      <c r="K322" s="8"/>
      <c r="L322" s="8"/>
      <c r="M322" s="8"/>
      <c r="N322" s="186">
        <f>D322</f>
        <v>0</v>
      </c>
    </row>
    <row r="323" spans="1:14" ht="20.25" customHeight="1">
      <c r="A323" s="122"/>
      <c r="B323" s="123" t="s">
        <v>75</v>
      </c>
      <c r="C323" s="125"/>
      <c r="D323" s="124"/>
      <c r="E323" s="117"/>
      <c r="F323" s="118"/>
      <c r="G323" s="86"/>
      <c r="H323" s="189">
        <f t="shared" si="17"/>
        <v>0</v>
      </c>
      <c r="I323" s="8"/>
      <c r="J323" s="8"/>
      <c r="K323" s="8"/>
      <c r="L323" s="8"/>
      <c r="M323" s="8"/>
      <c r="N323" s="185"/>
    </row>
    <row r="324" spans="1:14" ht="20.25" customHeight="1">
      <c r="A324" s="122"/>
      <c r="B324" s="123"/>
      <c r="C324" s="125"/>
      <c r="D324" s="124"/>
      <c r="E324" s="117"/>
      <c r="F324" s="118"/>
      <c r="G324" s="86"/>
      <c r="H324" s="189">
        <f t="shared" si="17"/>
        <v>0</v>
      </c>
      <c r="I324" s="8"/>
      <c r="J324" s="8"/>
      <c r="K324" s="8"/>
      <c r="L324" s="8"/>
      <c r="M324" s="8"/>
      <c r="N324" s="185"/>
    </row>
    <row r="325" spans="1:14" ht="20.25" customHeight="1">
      <c r="A325" s="126" t="s">
        <v>302</v>
      </c>
      <c r="B325" s="127" t="s">
        <v>303</v>
      </c>
      <c r="C325" s="129">
        <f>SUM(C326)</f>
        <v>0</v>
      </c>
      <c r="D325" s="128">
        <f>SUM(D326)</f>
        <v>0</v>
      </c>
      <c r="E325" s="117">
        <f t="shared" si="19"/>
        <v>0</v>
      </c>
      <c r="F325" s="118" t="e">
        <f t="shared" si="20"/>
        <v>#DIV/0!</v>
      </c>
      <c r="G325" s="86"/>
      <c r="H325" s="189">
        <f t="shared" si="17"/>
        <v>0</v>
      </c>
      <c r="I325" s="8"/>
      <c r="J325" s="8"/>
      <c r="K325" s="8"/>
      <c r="L325" s="8"/>
      <c r="M325" s="8"/>
      <c r="N325" s="185"/>
    </row>
    <row r="326" spans="1:14" ht="20.25" customHeight="1">
      <c r="A326" s="155" t="s">
        <v>32</v>
      </c>
      <c r="B326" s="156" t="s">
        <v>33</v>
      </c>
      <c r="C326" s="125">
        <v>0</v>
      </c>
      <c r="D326" s="124">
        <v>0</v>
      </c>
      <c r="E326" s="117">
        <f t="shared" si="19"/>
        <v>0</v>
      </c>
      <c r="F326" s="118" t="e">
        <f t="shared" si="20"/>
        <v>#DIV/0!</v>
      </c>
      <c r="G326" s="86"/>
      <c r="H326" s="189">
        <f t="shared" si="17"/>
        <v>0</v>
      </c>
      <c r="I326" s="183">
        <f>D326</f>
        <v>0</v>
      </c>
      <c r="J326" s="8"/>
      <c r="K326" s="8"/>
      <c r="L326" s="8"/>
      <c r="M326" s="8"/>
      <c r="N326" s="185"/>
    </row>
    <row r="327" spans="1:14" ht="20.25" customHeight="1">
      <c r="A327" s="122"/>
      <c r="B327" s="123"/>
      <c r="C327" s="125"/>
      <c r="D327" s="124"/>
      <c r="E327" s="117"/>
      <c r="F327" s="118"/>
      <c r="G327" s="86"/>
      <c r="H327" s="189">
        <f aca="true" t="shared" si="22" ref="H327:H390">SUM(I327:M327)</f>
        <v>0</v>
      </c>
      <c r="I327" s="8"/>
      <c r="J327" s="8"/>
      <c r="K327" s="8"/>
      <c r="L327" s="8"/>
      <c r="M327" s="8"/>
      <c r="N327" s="185"/>
    </row>
    <row r="328" spans="1:14" ht="20.25" customHeight="1">
      <c r="A328" s="126" t="s">
        <v>304</v>
      </c>
      <c r="B328" s="127" t="s">
        <v>305</v>
      </c>
      <c r="C328" s="129">
        <f>SUM(C329:C332)</f>
        <v>23600</v>
      </c>
      <c r="D328" s="128">
        <f>SUM(D329:D332)</f>
        <v>26200</v>
      </c>
      <c r="E328" s="117">
        <f t="shared" si="19"/>
        <v>2600</v>
      </c>
      <c r="F328" s="118">
        <f t="shared" si="20"/>
        <v>111.01694915254237</v>
      </c>
      <c r="G328" s="86"/>
      <c r="H328" s="189">
        <f t="shared" si="22"/>
        <v>0</v>
      </c>
      <c r="I328" s="8"/>
      <c r="J328" s="8"/>
      <c r="K328" s="8"/>
      <c r="L328" s="8"/>
      <c r="M328" s="8"/>
      <c r="N328" s="185"/>
    </row>
    <row r="329" spans="1:14" ht="20.25" customHeight="1">
      <c r="A329" s="155" t="s">
        <v>16</v>
      </c>
      <c r="B329" s="156" t="s">
        <v>17</v>
      </c>
      <c r="C329" s="125">
        <v>13000</v>
      </c>
      <c r="D329" s="124">
        <v>13000</v>
      </c>
      <c r="E329" s="117">
        <f t="shared" si="19"/>
        <v>0</v>
      </c>
      <c r="F329" s="118">
        <f t="shared" si="20"/>
        <v>100</v>
      </c>
      <c r="G329" s="86"/>
      <c r="H329" s="189">
        <f t="shared" si="22"/>
        <v>13000</v>
      </c>
      <c r="I329" s="8"/>
      <c r="J329" s="183">
        <f>D329</f>
        <v>13000</v>
      </c>
      <c r="K329" s="8"/>
      <c r="L329" s="8"/>
      <c r="M329" s="8"/>
      <c r="N329" s="185"/>
    </row>
    <row r="330" spans="1:14" ht="20.25" customHeight="1">
      <c r="A330" s="122" t="s">
        <v>36</v>
      </c>
      <c r="B330" s="123" t="s">
        <v>37</v>
      </c>
      <c r="C330" s="125">
        <v>600</v>
      </c>
      <c r="D330" s="124">
        <v>3200</v>
      </c>
      <c r="E330" s="117">
        <f t="shared" si="19"/>
        <v>2600</v>
      </c>
      <c r="F330" s="118">
        <f t="shared" si="20"/>
        <v>533.3333333333334</v>
      </c>
      <c r="G330" s="86"/>
      <c r="H330" s="189">
        <f t="shared" si="22"/>
        <v>3200</v>
      </c>
      <c r="I330" s="8"/>
      <c r="J330" s="183">
        <f>D330</f>
        <v>3200</v>
      </c>
      <c r="K330" s="8"/>
      <c r="L330" s="8"/>
      <c r="M330" s="8"/>
      <c r="N330" s="185"/>
    </row>
    <row r="331" spans="1:14" ht="20.25" customHeight="1">
      <c r="A331" s="122" t="s">
        <v>223</v>
      </c>
      <c r="B331" s="123" t="s">
        <v>224</v>
      </c>
      <c r="C331" s="125">
        <v>10000</v>
      </c>
      <c r="D331" s="124">
        <v>10000</v>
      </c>
      <c r="E331" s="117">
        <f t="shared" si="19"/>
        <v>0</v>
      </c>
      <c r="F331" s="118">
        <f t="shared" si="20"/>
        <v>100</v>
      </c>
      <c r="G331" s="86"/>
      <c r="H331" s="189">
        <f t="shared" si="22"/>
        <v>10000</v>
      </c>
      <c r="I331" s="8"/>
      <c r="J331" s="183">
        <f>D331</f>
        <v>10000</v>
      </c>
      <c r="K331" s="8"/>
      <c r="L331" s="8"/>
      <c r="M331" s="8"/>
      <c r="N331" s="185"/>
    </row>
    <row r="332" spans="1:14" ht="20.25" customHeight="1">
      <c r="A332" s="122"/>
      <c r="B332" s="123" t="s">
        <v>225</v>
      </c>
      <c r="C332" s="125"/>
      <c r="D332" s="124"/>
      <c r="E332" s="117"/>
      <c r="F332" s="118"/>
      <c r="G332" s="86"/>
      <c r="H332" s="189">
        <f t="shared" si="22"/>
        <v>0</v>
      </c>
      <c r="I332" s="8"/>
      <c r="J332" s="8"/>
      <c r="K332" s="8"/>
      <c r="L332" s="8"/>
      <c r="M332" s="8"/>
      <c r="N332" s="185"/>
    </row>
    <row r="333" spans="1:14" ht="20.25" customHeight="1">
      <c r="A333" s="158"/>
      <c r="B333" s="123"/>
      <c r="C333" s="125"/>
      <c r="D333" s="124"/>
      <c r="E333" s="117"/>
      <c r="F333" s="118"/>
      <c r="G333" s="86"/>
      <c r="H333" s="189">
        <f t="shared" si="22"/>
        <v>0</v>
      </c>
      <c r="I333" s="8"/>
      <c r="J333" s="8"/>
      <c r="K333" s="8"/>
      <c r="L333" s="8"/>
      <c r="M333" s="8"/>
      <c r="N333" s="185"/>
    </row>
    <row r="334" spans="1:14" ht="20.25" customHeight="1">
      <c r="A334" s="159" t="s">
        <v>170</v>
      </c>
      <c r="B334" s="127" t="s">
        <v>15</v>
      </c>
      <c r="C334" s="129">
        <f>SUM(C335:C336)</f>
        <v>27800</v>
      </c>
      <c r="D334" s="128">
        <f>SUM(D335:D336)</f>
        <v>27800</v>
      </c>
      <c r="E334" s="117">
        <f t="shared" si="19"/>
        <v>0</v>
      </c>
      <c r="F334" s="118">
        <f t="shared" si="20"/>
        <v>100</v>
      </c>
      <c r="G334" s="86"/>
      <c r="H334" s="189">
        <f t="shared" si="22"/>
        <v>0</v>
      </c>
      <c r="I334" s="8"/>
      <c r="J334" s="8"/>
      <c r="K334" s="8"/>
      <c r="L334" s="8"/>
      <c r="M334" s="8"/>
      <c r="N334" s="185"/>
    </row>
    <row r="335" spans="1:14" ht="20.25" customHeight="1">
      <c r="A335" s="160" t="s">
        <v>32</v>
      </c>
      <c r="B335" s="123" t="s">
        <v>33</v>
      </c>
      <c r="C335" s="161">
        <v>0</v>
      </c>
      <c r="D335" s="128">
        <v>0</v>
      </c>
      <c r="E335" s="117">
        <f t="shared" si="19"/>
        <v>0</v>
      </c>
      <c r="F335" s="118" t="e">
        <f t="shared" si="20"/>
        <v>#DIV/0!</v>
      </c>
      <c r="G335" s="86"/>
      <c r="H335" s="189">
        <f t="shared" si="22"/>
        <v>0</v>
      </c>
      <c r="I335" s="183">
        <f>D335</f>
        <v>0</v>
      </c>
      <c r="J335" s="8"/>
      <c r="K335" s="8"/>
      <c r="L335" s="8"/>
      <c r="M335" s="8"/>
      <c r="N335" s="185"/>
    </row>
    <row r="336" spans="1:14" ht="20.25" customHeight="1">
      <c r="A336" s="160" t="s">
        <v>38</v>
      </c>
      <c r="B336" s="123" t="s">
        <v>72</v>
      </c>
      <c r="C336" s="162">
        <v>27800</v>
      </c>
      <c r="D336" s="124">
        <v>27800</v>
      </c>
      <c r="E336" s="117">
        <f t="shared" si="19"/>
        <v>0</v>
      </c>
      <c r="F336" s="118">
        <f t="shared" si="20"/>
        <v>100</v>
      </c>
      <c r="G336" s="86"/>
      <c r="H336" s="189">
        <f t="shared" si="22"/>
        <v>27800</v>
      </c>
      <c r="I336" s="8"/>
      <c r="J336" s="183">
        <f>D336</f>
        <v>27800</v>
      </c>
      <c r="K336" s="8"/>
      <c r="L336" s="8"/>
      <c r="M336" s="8"/>
      <c r="N336" s="185"/>
    </row>
    <row r="337" spans="1:14" ht="20.25" customHeight="1">
      <c r="A337" s="126"/>
      <c r="B337" s="127"/>
      <c r="C337" s="129"/>
      <c r="D337" s="128"/>
      <c r="E337" s="117"/>
      <c r="F337" s="118"/>
      <c r="G337" s="86"/>
      <c r="H337" s="189">
        <f t="shared" si="22"/>
        <v>0</v>
      </c>
      <c r="I337" s="8"/>
      <c r="J337" s="8"/>
      <c r="K337" s="8"/>
      <c r="L337" s="8"/>
      <c r="M337" s="8"/>
      <c r="N337" s="185"/>
    </row>
    <row r="338" spans="1:14" ht="18">
      <c r="A338" s="122"/>
      <c r="B338" s="131"/>
      <c r="C338" s="133"/>
      <c r="D338" s="132"/>
      <c r="E338" s="117"/>
      <c r="F338" s="118"/>
      <c r="G338" s="86"/>
      <c r="H338" s="189">
        <f t="shared" si="22"/>
        <v>0</v>
      </c>
      <c r="I338" s="8"/>
      <c r="J338" s="8"/>
      <c r="K338" s="8"/>
      <c r="L338" s="8"/>
      <c r="M338" s="8"/>
      <c r="N338" s="185"/>
    </row>
    <row r="339" spans="1:14" ht="0.75" customHeight="1">
      <c r="A339" s="77" t="s">
        <v>170</v>
      </c>
      <c r="B339" s="17" t="s">
        <v>15</v>
      </c>
      <c r="C339" s="29">
        <f>SUM(C340:C341)</f>
        <v>0</v>
      </c>
      <c r="D339" s="18"/>
      <c r="E339" s="93">
        <f aca="true" t="shared" si="23" ref="E339:E400">D339-C339</f>
        <v>0</v>
      </c>
      <c r="F339" s="12" t="e">
        <f t="shared" si="20"/>
        <v>#DIV/0!</v>
      </c>
      <c r="G339" s="86"/>
      <c r="H339" s="189">
        <f t="shared" si="22"/>
        <v>0</v>
      </c>
      <c r="I339" s="8"/>
      <c r="J339" s="8"/>
      <c r="K339" s="8"/>
      <c r="L339" s="8"/>
      <c r="M339" s="8"/>
      <c r="N339" s="185"/>
    </row>
    <row r="340" spans="1:14" ht="18" hidden="1">
      <c r="A340" s="13" t="s">
        <v>62</v>
      </c>
      <c r="B340" s="8" t="s">
        <v>63</v>
      </c>
      <c r="C340" s="30"/>
      <c r="D340" s="14"/>
      <c r="E340" s="93">
        <f t="shared" si="23"/>
        <v>0</v>
      </c>
      <c r="F340" s="12" t="e">
        <f t="shared" si="20"/>
        <v>#DIV/0!</v>
      </c>
      <c r="G340" s="86"/>
      <c r="H340" s="189">
        <f t="shared" si="22"/>
        <v>0</v>
      </c>
      <c r="I340" s="8"/>
      <c r="J340" s="8"/>
      <c r="K340" s="8"/>
      <c r="L340" s="8"/>
      <c r="M340" s="8"/>
      <c r="N340" s="185"/>
    </row>
    <row r="341" spans="1:14" ht="18" hidden="1">
      <c r="A341" s="20" t="s">
        <v>32</v>
      </c>
      <c r="B341" s="7" t="s">
        <v>33</v>
      </c>
      <c r="C341" s="31"/>
      <c r="D341" s="21"/>
      <c r="E341" s="93">
        <f t="shared" si="23"/>
        <v>0</v>
      </c>
      <c r="F341" s="12" t="e">
        <f t="shared" si="20"/>
        <v>#DIV/0!</v>
      </c>
      <c r="G341" s="86"/>
      <c r="H341" s="189">
        <f t="shared" si="22"/>
        <v>0</v>
      </c>
      <c r="I341" s="8"/>
      <c r="J341" s="8"/>
      <c r="K341" s="8"/>
      <c r="L341" s="8"/>
      <c r="M341" s="8"/>
      <c r="N341" s="185"/>
    </row>
    <row r="342" spans="1:14" ht="18">
      <c r="A342" s="107" t="s">
        <v>99</v>
      </c>
      <c r="B342" s="96" t="s">
        <v>100</v>
      </c>
      <c r="C342" s="109">
        <f>SUM(C349+C359+C344)</f>
        <v>50000</v>
      </c>
      <c r="D342" s="97">
        <f>SUM(D349+D359+D344)</f>
        <v>50000</v>
      </c>
      <c r="E342" s="93">
        <f t="shared" si="23"/>
        <v>0</v>
      </c>
      <c r="F342" s="12">
        <f aca="true" t="shared" si="24" ref="F342:F404">D342*100/C342</f>
        <v>100</v>
      </c>
      <c r="G342" s="86"/>
      <c r="H342" s="189">
        <f t="shared" si="22"/>
        <v>0</v>
      </c>
      <c r="I342" s="8"/>
      <c r="J342" s="8"/>
      <c r="K342" s="8"/>
      <c r="L342" s="8"/>
      <c r="M342" s="8"/>
      <c r="N342" s="185"/>
    </row>
    <row r="343" spans="1:14" ht="18">
      <c r="A343" s="107"/>
      <c r="B343" s="96"/>
      <c r="C343" s="109"/>
      <c r="D343" s="97"/>
      <c r="E343" s="93"/>
      <c r="F343" s="12"/>
      <c r="G343" s="86"/>
      <c r="H343" s="189">
        <f t="shared" si="22"/>
        <v>0</v>
      </c>
      <c r="I343" s="8"/>
      <c r="J343" s="8"/>
      <c r="K343" s="8"/>
      <c r="L343" s="8"/>
      <c r="M343" s="8"/>
      <c r="N343" s="185"/>
    </row>
    <row r="344" spans="1:14" ht="18">
      <c r="A344" s="107" t="s">
        <v>181</v>
      </c>
      <c r="B344" s="96" t="s">
        <v>182</v>
      </c>
      <c r="C344" s="109">
        <f>SUM(C345:C347)</f>
        <v>3000</v>
      </c>
      <c r="D344" s="97">
        <f>SUM(D345:D347)</f>
        <v>3000</v>
      </c>
      <c r="E344" s="93">
        <f t="shared" si="23"/>
        <v>0</v>
      </c>
      <c r="F344" s="12">
        <f t="shared" si="24"/>
        <v>100</v>
      </c>
      <c r="G344" s="86"/>
      <c r="H344" s="189">
        <f t="shared" si="22"/>
        <v>0</v>
      </c>
      <c r="I344" s="8"/>
      <c r="J344" s="8"/>
      <c r="K344" s="8"/>
      <c r="L344" s="8"/>
      <c r="M344" s="8"/>
      <c r="N344" s="185"/>
    </row>
    <row r="345" spans="1:14" ht="18">
      <c r="A345" s="106" t="s">
        <v>32</v>
      </c>
      <c r="B345" s="84" t="s">
        <v>33</v>
      </c>
      <c r="C345" s="193">
        <v>1000</v>
      </c>
      <c r="D345" s="85">
        <v>1000</v>
      </c>
      <c r="E345" s="93">
        <f t="shared" si="23"/>
        <v>0</v>
      </c>
      <c r="F345" s="12">
        <f t="shared" si="24"/>
        <v>100</v>
      </c>
      <c r="G345" s="86"/>
      <c r="H345" s="189">
        <f t="shared" si="22"/>
        <v>1000</v>
      </c>
      <c r="I345" s="183">
        <f>D345</f>
        <v>1000</v>
      </c>
      <c r="J345" s="8"/>
      <c r="K345" s="8"/>
      <c r="L345" s="8"/>
      <c r="M345" s="8"/>
      <c r="N345" s="185"/>
    </row>
    <row r="346" spans="1:14" ht="18">
      <c r="A346" s="106" t="s">
        <v>34</v>
      </c>
      <c r="B346" s="84" t="s">
        <v>35</v>
      </c>
      <c r="C346" s="193">
        <v>1000</v>
      </c>
      <c r="D346" s="85">
        <v>1000</v>
      </c>
      <c r="E346" s="93">
        <f t="shared" si="23"/>
        <v>0</v>
      </c>
      <c r="F346" s="12">
        <f t="shared" si="24"/>
        <v>100</v>
      </c>
      <c r="G346" s="86"/>
      <c r="H346" s="189">
        <f t="shared" si="22"/>
        <v>1000</v>
      </c>
      <c r="I346" s="8"/>
      <c r="J346" s="183">
        <f>D346</f>
        <v>1000</v>
      </c>
      <c r="K346" s="8"/>
      <c r="L346" s="8"/>
      <c r="M346" s="8"/>
      <c r="N346" s="185"/>
    </row>
    <row r="347" spans="1:14" ht="18">
      <c r="A347" s="106" t="s">
        <v>16</v>
      </c>
      <c r="B347" s="84" t="s">
        <v>17</v>
      </c>
      <c r="C347" s="193">
        <v>1000</v>
      </c>
      <c r="D347" s="85">
        <v>1000</v>
      </c>
      <c r="E347" s="93">
        <f t="shared" si="23"/>
        <v>0</v>
      </c>
      <c r="F347" s="12">
        <f t="shared" si="24"/>
        <v>100</v>
      </c>
      <c r="G347" s="86"/>
      <c r="H347" s="189">
        <f t="shared" si="22"/>
        <v>1000</v>
      </c>
      <c r="I347" s="8"/>
      <c r="J347" s="183">
        <f>D347</f>
        <v>1000</v>
      </c>
      <c r="K347" s="8"/>
      <c r="L347" s="8"/>
      <c r="M347" s="8"/>
      <c r="N347" s="185"/>
    </row>
    <row r="348" spans="1:14" ht="18">
      <c r="A348" s="107"/>
      <c r="B348" s="96"/>
      <c r="C348" s="109"/>
      <c r="D348" s="97"/>
      <c r="E348" s="93"/>
      <c r="F348" s="12"/>
      <c r="G348" s="86"/>
      <c r="H348" s="189">
        <f t="shared" si="22"/>
        <v>0</v>
      </c>
      <c r="I348" s="8"/>
      <c r="J348" s="8"/>
      <c r="K348" s="8"/>
      <c r="L348" s="8"/>
      <c r="M348" s="8"/>
      <c r="N348" s="185"/>
    </row>
    <row r="349" spans="1:14" ht="18">
      <c r="A349" s="107" t="s">
        <v>101</v>
      </c>
      <c r="B349" s="96" t="s">
        <v>102</v>
      </c>
      <c r="C349" s="109">
        <f>SUM(C350:C357)</f>
        <v>37500</v>
      </c>
      <c r="D349" s="97">
        <f>SUM(D350:D357)</f>
        <v>37500</v>
      </c>
      <c r="E349" s="93">
        <f t="shared" si="23"/>
        <v>0</v>
      </c>
      <c r="F349" s="12">
        <f t="shared" si="24"/>
        <v>100</v>
      </c>
      <c r="G349" s="86"/>
      <c r="H349" s="189">
        <f t="shared" si="22"/>
        <v>0</v>
      </c>
      <c r="I349" s="8"/>
      <c r="J349" s="8"/>
      <c r="K349" s="8"/>
      <c r="L349" s="8"/>
      <c r="M349" s="8"/>
      <c r="N349" s="185"/>
    </row>
    <row r="350" spans="1:14" ht="18">
      <c r="A350" s="106"/>
      <c r="B350" s="84"/>
      <c r="C350" s="193"/>
      <c r="D350" s="85"/>
      <c r="E350" s="93"/>
      <c r="F350" s="12"/>
      <c r="G350" s="86"/>
      <c r="H350" s="189">
        <f t="shared" si="22"/>
        <v>0</v>
      </c>
      <c r="I350" s="8"/>
      <c r="J350" s="8"/>
      <c r="K350" s="8"/>
      <c r="L350" s="8"/>
      <c r="M350" s="8"/>
      <c r="N350" s="185"/>
    </row>
    <row r="351" spans="1:14" ht="18">
      <c r="A351" s="106" t="s">
        <v>32</v>
      </c>
      <c r="B351" s="84" t="s">
        <v>33</v>
      </c>
      <c r="C351" s="193">
        <v>4000</v>
      </c>
      <c r="D351" s="85">
        <v>4000</v>
      </c>
      <c r="E351" s="93">
        <f t="shared" si="23"/>
        <v>0</v>
      </c>
      <c r="F351" s="12">
        <f t="shared" si="24"/>
        <v>100</v>
      </c>
      <c r="G351" s="86"/>
      <c r="H351" s="189">
        <f t="shared" si="22"/>
        <v>4000</v>
      </c>
      <c r="I351" s="183">
        <f>D351</f>
        <v>4000</v>
      </c>
      <c r="J351" s="8"/>
      <c r="K351" s="8"/>
      <c r="L351" s="8"/>
      <c r="M351" s="8"/>
      <c r="N351" s="185"/>
    </row>
    <row r="352" spans="1:14" ht="18">
      <c r="A352" s="106" t="s">
        <v>34</v>
      </c>
      <c r="B352" s="84" t="s">
        <v>35</v>
      </c>
      <c r="C352" s="193">
        <v>10000</v>
      </c>
      <c r="D352" s="85">
        <v>10000</v>
      </c>
      <c r="E352" s="93">
        <f t="shared" si="23"/>
        <v>0</v>
      </c>
      <c r="F352" s="12">
        <f t="shared" si="24"/>
        <v>100</v>
      </c>
      <c r="G352" s="86"/>
      <c r="H352" s="189">
        <f t="shared" si="22"/>
        <v>10000</v>
      </c>
      <c r="I352" s="8"/>
      <c r="J352" s="183">
        <f>D352</f>
        <v>10000</v>
      </c>
      <c r="K352" s="8"/>
      <c r="L352" s="8"/>
      <c r="M352" s="8"/>
      <c r="N352" s="185"/>
    </row>
    <row r="353" spans="1:14" ht="18">
      <c r="A353" s="106" t="s">
        <v>44</v>
      </c>
      <c r="B353" s="84" t="s">
        <v>45</v>
      </c>
      <c r="C353" s="193">
        <v>1000</v>
      </c>
      <c r="D353" s="85">
        <v>1000</v>
      </c>
      <c r="E353" s="93">
        <f t="shared" si="23"/>
        <v>0</v>
      </c>
      <c r="F353" s="12">
        <f t="shared" si="24"/>
        <v>100</v>
      </c>
      <c r="G353" s="86"/>
      <c r="H353" s="189">
        <f t="shared" si="22"/>
        <v>1000</v>
      </c>
      <c r="I353" s="8"/>
      <c r="J353" s="183">
        <f>D353</f>
        <v>1000</v>
      </c>
      <c r="K353" s="8"/>
      <c r="L353" s="8"/>
      <c r="M353" s="8"/>
      <c r="N353" s="185"/>
    </row>
    <row r="354" spans="1:14" ht="18">
      <c r="A354" s="106" t="s">
        <v>16</v>
      </c>
      <c r="B354" s="84" t="s">
        <v>17</v>
      </c>
      <c r="C354" s="193">
        <f>24400-2500</f>
        <v>21900</v>
      </c>
      <c r="D354" s="85">
        <v>21900</v>
      </c>
      <c r="E354" s="93">
        <f t="shared" si="23"/>
        <v>0</v>
      </c>
      <c r="F354" s="12">
        <f t="shared" si="24"/>
        <v>100</v>
      </c>
      <c r="G354" s="86"/>
      <c r="H354" s="189">
        <f t="shared" si="22"/>
        <v>21900</v>
      </c>
      <c r="I354" s="8"/>
      <c r="J354" s="183">
        <f>D354</f>
        <v>21900</v>
      </c>
      <c r="K354" s="8"/>
      <c r="L354" s="8"/>
      <c r="M354" s="8"/>
      <c r="N354" s="185"/>
    </row>
    <row r="355" spans="1:14" ht="18">
      <c r="A355" s="106" t="s">
        <v>36</v>
      </c>
      <c r="B355" s="84" t="s">
        <v>37</v>
      </c>
      <c r="C355" s="193">
        <v>200</v>
      </c>
      <c r="D355" s="85">
        <v>200</v>
      </c>
      <c r="E355" s="93">
        <f t="shared" si="23"/>
        <v>0</v>
      </c>
      <c r="F355" s="12">
        <f t="shared" si="24"/>
        <v>100</v>
      </c>
      <c r="G355" s="86"/>
      <c r="H355" s="189">
        <f t="shared" si="22"/>
        <v>200</v>
      </c>
      <c r="I355" s="8"/>
      <c r="J355" s="183">
        <f>D355</f>
        <v>200</v>
      </c>
      <c r="K355" s="8"/>
      <c r="L355" s="8"/>
      <c r="M355" s="8"/>
      <c r="N355" s="185"/>
    </row>
    <row r="356" spans="1:14" ht="18">
      <c r="A356" s="106" t="s">
        <v>223</v>
      </c>
      <c r="B356" s="108" t="s">
        <v>224</v>
      </c>
      <c r="C356" s="94">
        <v>400</v>
      </c>
      <c r="D356" s="85">
        <v>400</v>
      </c>
      <c r="E356" s="93">
        <f t="shared" si="23"/>
        <v>0</v>
      </c>
      <c r="F356" s="12">
        <f t="shared" si="24"/>
        <v>100</v>
      </c>
      <c r="G356" s="86"/>
      <c r="H356" s="189">
        <f t="shared" si="22"/>
        <v>400</v>
      </c>
      <c r="I356" s="8"/>
      <c r="J356" s="183">
        <f>D356</f>
        <v>400</v>
      </c>
      <c r="K356" s="8"/>
      <c r="L356" s="8"/>
      <c r="M356" s="8"/>
      <c r="N356" s="185"/>
    </row>
    <row r="357" spans="1:14" ht="18">
      <c r="A357" s="106"/>
      <c r="B357" s="108" t="s">
        <v>225</v>
      </c>
      <c r="C357" s="94"/>
      <c r="D357" s="85"/>
      <c r="E357" s="93"/>
      <c r="F357" s="12"/>
      <c r="G357" s="86"/>
      <c r="H357" s="189">
        <f t="shared" si="22"/>
        <v>0</v>
      </c>
      <c r="I357" s="8"/>
      <c r="J357" s="8"/>
      <c r="K357" s="8"/>
      <c r="L357" s="8"/>
      <c r="M357" s="8"/>
      <c r="N357" s="185"/>
    </row>
    <row r="358" spans="1:14" ht="18">
      <c r="A358" s="106"/>
      <c r="B358" s="84"/>
      <c r="C358" s="193"/>
      <c r="D358" s="85"/>
      <c r="E358" s="93"/>
      <c r="F358" s="12"/>
      <c r="G358" s="86"/>
      <c r="H358" s="189">
        <f t="shared" si="22"/>
        <v>0</v>
      </c>
      <c r="I358" s="8"/>
      <c r="J358" s="8"/>
      <c r="K358" s="8"/>
      <c r="L358" s="8"/>
      <c r="M358" s="8"/>
      <c r="N358" s="185"/>
    </row>
    <row r="359" spans="1:14" ht="18">
      <c r="A359" s="107" t="s">
        <v>103</v>
      </c>
      <c r="B359" s="96" t="s">
        <v>15</v>
      </c>
      <c r="C359" s="109">
        <f>SUM(C360+C363)</f>
        <v>9500</v>
      </c>
      <c r="D359" s="97">
        <f>SUM(D360+D363)</f>
        <v>9500</v>
      </c>
      <c r="E359" s="93">
        <f t="shared" si="23"/>
        <v>0</v>
      </c>
      <c r="F359" s="12">
        <f t="shared" si="24"/>
        <v>100</v>
      </c>
      <c r="G359" s="86"/>
      <c r="H359" s="189">
        <f t="shared" si="22"/>
        <v>0</v>
      </c>
      <c r="I359" s="8"/>
      <c r="J359" s="8"/>
      <c r="K359" s="8"/>
      <c r="L359" s="8"/>
      <c r="M359" s="8"/>
      <c r="N359" s="185"/>
    </row>
    <row r="360" spans="1:14" ht="36">
      <c r="A360" s="106" t="s">
        <v>104</v>
      </c>
      <c r="B360" s="84" t="s">
        <v>105</v>
      </c>
      <c r="C360" s="193">
        <v>9500</v>
      </c>
      <c r="D360" s="85">
        <v>9500</v>
      </c>
      <c r="E360" s="93">
        <f t="shared" si="23"/>
        <v>0</v>
      </c>
      <c r="F360" s="12">
        <f t="shared" si="24"/>
        <v>100</v>
      </c>
      <c r="G360" s="86" t="s">
        <v>310</v>
      </c>
      <c r="H360" s="189">
        <f t="shared" si="22"/>
        <v>9500</v>
      </c>
      <c r="I360" s="8"/>
      <c r="J360" s="8"/>
      <c r="K360" s="183">
        <f>D360</f>
        <v>9500</v>
      </c>
      <c r="L360" s="8"/>
      <c r="M360" s="8"/>
      <c r="N360" s="185"/>
    </row>
    <row r="361" spans="1:14" ht="18">
      <c r="A361" s="106"/>
      <c r="B361" s="84" t="s">
        <v>106</v>
      </c>
      <c r="C361" s="193"/>
      <c r="D361" s="85"/>
      <c r="E361" s="93"/>
      <c r="F361" s="12"/>
      <c r="G361" s="86"/>
      <c r="H361" s="189">
        <f t="shared" si="22"/>
        <v>0</v>
      </c>
      <c r="I361" s="8"/>
      <c r="J361" s="8"/>
      <c r="K361" s="8"/>
      <c r="L361" s="8"/>
      <c r="M361" s="8"/>
      <c r="N361" s="185"/>
    </row>
    <row r="362" spans="1:14" ht="18">
      <c r="A362" s="106"/>
      <c r="B362" s="84" t="s">
        <v>107</v>
      </c>
      <c r="C362" s="193"/>
      <c r="D362" s="85"/>
      <c r="E362" s="93"/>
      <c r="F362" s="12"/>
      <c r="G362" s="86"/>
      <c r="H362" s="189">
        <f t="shared" si="22"/>
        <v>0</v>
      </c>
      <c r="I362" s="8"/>
      <c r="J362" s="8"/>
      <c r="K362" s="8"/>
      <c r="L362" s="8"/>
      <c r="M362" s="8"/>
      <c r="N362" s="185"/>
    </row>
    <row r="363" spans="1:14" ht="18" hidden="1">
      <c r="A363" s="44" t="s">
        <v>89</v>
      </c>
      <c r="B363" s="8" t="s">
        <v>98</v>
      </c>
      <c r="C363" s="25">
        <v>0</v>
      </c>
      <c r="D363" s="14"/>
      <c r="E363" s="93">
        <f t="shared" si="23"/>
        <v>0</v>
      </c>
      <c r="F363" s="12" t="e">
        <f t="shared" si="24"/>
        <v>#DIV/0!</v>
      </c>
      <c r="G363" s="86"/>
      <c r="H363" s="189">
        <f t="shared" si="22"/>
        <v>0</v>
      </c>
      <c r="I363" s="8"/>
      <c r="J363" s="8"/>
      <c r="K363" s="8"/>
      <c r="L363" s="8"/>
      <c r="M363" s="8"/>
      <c r="N363" s="185"/>
    </row>
    <row r="364" spans="1:14" ht="18">
      <c r="A364" s="45"/>
      <c r="B364" s="7"/>
      <c r="C364" s="194"/>
      <c r="D364" s="21"/>
      <c r="E364" s="93"/>
      <c r="F364" s="12"/>
      <c r="G364" s="86"/>
      <c r="H364" s="189">
        <f t="shared" si="22"/>
        <v>0</v>
      </c>
      <c r="I364" s="8"/>
      <c r="J364" s="8"/>
      <c r="K364" s="8"/>
      <c r="L364" s="8"/>
      <c r="M364" s="8"/>
      <c r="N364" s="185"/>
    </row>
    <row r="365" spans="1:14" ht="18">
      <c r="A365" s="89" t="s">
        <v>108</v>
      </c>
      <c r="B365" s="96" t="s">
        <v>109</v>
      </c>
      <c r="C365" s="92">
        <f>SUM(C367+C371+C403+C406+C411+C417+C447+C451+C414)</f>
        <v>3398040</v>
      </c>
      <c r="D365" s="91">
        <f>SUM(D367+D371+D403+D406+D411+D417+D447+D451+D414)</f>
        <v>3354710</v>
      </c>
      <c r="E365" s="93">
        <f t="shared" si="23"/>
        <v>-43330</v>
      </c>
      <c r="F365" s="12">
        <f t="shared" si="24"/>
        <v>98.72485315063977</v>
      </c>
      <c r="G365" s="86"/>
      <c r="H365" s="189">
        <f t="shared" si="22"/>
        <v>0</v>
      </c>
      <c r="I365" s="8"/>
      <c r="J365" s="8"/>
      <c r="K365" s="8"/>
      <c r="L365" s="8"/>
      <c r="M365" s="8"/>
      <c r="N365" s="185"/>
    </row>
    <row r="366" spans="1:14" ht="18">
      <c r="A366" s="83"/>
      <c r="B366" s="84"/>
      <c r="C366" s="94"/>
      <c r="D366" s="85"/>
      <c r="E366" s="93"/>
      <c r="F366" s="12"/>
      <c r="G366" s="86"/>
      <c r="H366" s="189">
        <f t="shared" si="22"/>
        <v>0</v>
      </c>
      <c r="I366" s="8"/>
      <c r="J366" s="8"/>
      <c r="K366" s="8"/>
      <c r="L366" s="8"/>
      <c r="M366" s="8"/>
      <c r="N366" s="185"/>
    </row>
    <row r="367" spans="1:14" ht="18">
      <c r="A367" s="126" t="s">
        <v>110</v>
      </c>
      <c r="B367" s="127" t="s">
        <v>111</v>
      </c>
      <c r="C367" s="129">
        <f>SUM(C368)</f>
        <v>91000</v>
      </c>
      <c r="D367" s="128">
        <f>SUM(D368)</f>
        <v>90000</v>
      </c>
      <c r="E367" s="117">
        <f t="shared" si="23"/>
        <v>-1000</v>
      </c>
      <c r="F367" s="118">
        <f t="shared" si="24"/>
        <v>98.9010989010989</v>
      </c>
      <c r="G367" s="86"/>
      <c r="H367" s="189">
        <f t="shared" si="22"/>
        <v>0</v>
      </c>
      <c r="I367" s="8"/>
      <c r="J367" s="8"/>
      <c r="K367" s="8"/>
      <c r="L367" s="8"/>
      <c r="M367" s="8"/>
      <c r="N367" s="185"/>
    </row>
    <row r="368" spans="1:14" ht="18">
      <c r="A368" s="122" t="s">
        <v>183</v>
      </c>
      <c r="B368" s="123" t="s">
        <v>184</v>
      </c>
      <c r="C368" s="125">
        <v>91000</v>
      </c>
      <c r="D368" s="124">
        <v>90000</v>
      </c>
      <c r="E368" s="117">
        <f t="shared" si="23"/>
        <v>-1000</v>
      </c>
      <c r="F368" s="118">
        <f t="shared" si="24"/>
        <v>98.9010989010989</v>
      </c>
      <c r="G368" s="86"/>
      <c r="H368" s="189">
        <f t="shared" si="22"/>
        <v>90000</v>
      </c>
      <c r="I368" s="8"/>
      <c r="J368" s="183">
        <f>D368</f>
        <v>90000</v>
      </c>
      <c r="K368" s="8"/>
      <c r="L368" s="8"/>
      <c r="M368" s="8"/>
      <c r="N368" s="185"/>
    </row>
    <row r="369" spans="1:14" ht="18">
      <c r="A369" s="122"/>
      <c r="B369" s="123" t="s">
        <v>185</v>
      </c>
      <c r="C369" s="125"/>
      <c r="D369" s="124"/>
      <c r="E369" s="117"/>
      <c r="F369" s="118"/>
      <c r="G369" s="86"/>
      <c r="H369" s="189">
        <f t="shared" si="22"/>
        <v>0</v>
      </c>
      <c r="I369" s="8"/>
      <c r="J369" s="8"/>
      <c r="K369" s="8"/>
      <c r="L369" s="8"/>
      <c r="M369" s="8"/>
      <c r="N369" s="185"/>
    </row>
    <row r="370" spans="1:14" ht="18">
      <c r="A370" s="83"/>
      <c r="B370" s="84"/>
      <c r="C370" s="94"/>
      <c r="D370" s="85"/>
      <c r="E370" s="93"/>
      <c r="F370" s="12"/>
      <c r="G370" s="86"/>
      <c r="H370" s="189">
        <f t="shared" si="22"/>
        <v>0</v>
      </c>
      <c r="I370" s="8"/>
      <c r="J370" s="8"/>
      <c r="K370" s="8"/>
      <c r="L370" s="8"/>
      <c r="M370" s="8"/>
      <c r="N370" s="185"/>
    </row>
    <row r="371" spans="1:14" ht="18">
      <c r="A371" s="95" t="s">
        <v>112</v>
      </c>
      <c r="B371" s="96" t="s">
        <v>113</v>
      </c>
      <c r="C371" s="98">
        <f>SUM(C374:C401)</f>
        <v>2209100</v>
      </c>
      <c r="D371" s="97">
        <f>SUM(D374:D401)</f>
        <v>2209100</v>
      </c>
      <c r="E371" s="93">
        <f t="shared" si="23"/>
        <v>0</v>
      </c>
      <c r="F371" s="12">
        <f t="shared" si="24"/>
        <v>100</v>
      </c>
      <c r="G371" s="86"/>
      <c r="H371" s="189">
        <f t="shared" si="22"/>
        <v>0</v>
      </c>
      <c r="I371" s="8"/>
      <c r="J371" s="8"/>
      <c r="K371" s="8"/>
      <c r="L371" s="8"/>
      <c r="M371" s="8"/>
      <c r="N371" s="185"/>
    </row>
    <row r="372" spans="1:14" ht="18">
      <c r="A372" s="83"/>
      <c r="B372" s="96" t="s">
        <v>114</v>
      </c>
      <c r="C372" s="94"/>
      <c r="D372" s="85"/>
      <c r="E372" s="93"/>
      <c r="F372" s="12"/>
      <c r="G372" s="86"/>
      <c r="H372" s="189">
        <f t="shared" si="22"/>
        <v>0</v>
      </c>
      <c r="I372" s="8"/>
      <c r="J372" s="8"/>
      <c r="K372" s="8"/>
      <c r="L372" s="8"/>
      <c r="M372" s="8"/>
      <c r="N372" s="185"/>
    </row>
    <row r="373" spans="1:14" ht="18">
      <c r="A373" s="83"/>
      <c r="B373" s="96" t="s">
        <v>115</v>
      </c>
      <c r="C373" s="94"/>
      <c r="D373" s="85"/>
      <c r="E373" s="93"/>
      <c r="F373" s="12"/>
      <c r="G373" s="86"/>
      <c r="H373" s="189">
        <f t="shared" si="22"/>
        <v>0</v>
      </c>
      <c r="I373" s="8"/>
      <c r="J373" s="8"/>
      <c r="K373" s="8"/>
      <c r="L373" s="8"/>
      <c r="M373" s="8"/>
      <c r="N373" s="185"/>
    </row>
    <row r="374" spans="1:14" ht="18">
      <c r="A374" s="83" t="s">
        <v>234</v>
      </c>
      <c r="B374" s="104" t="s">
        <v>235</v>
      </c>
      <c r="C374" s="195">
        <v>700</v>
      </c>
      <c r="D374" s="105">
        <v>700</v>
      </c>
      <c r="E374" s="93">
        <f t="shared" si="23"/>
        <v>0</v>
      </c>
      <c r="F374" s="12">
        <f t="shared" si="24"/>
        <v>100</v>
      </c>
      <c r="G374" s="86"/>
      <c r="H374" s="189">
        <f t="shared" si="22"/>
        <v>700</v>
      </c>
      <c r="I374" s="8"/>
      <c r="J374" s="183">
        <f>D374</f>
        <v>700</v>
      </c>
      <c r="K374" s="8"/>
      <c r="L374" s="8"/>
      <c r="M374" s="8"/>
      <c r="N374" s="185"/>
    </row>
    <row r="375" spans="1:14" ht="18">
      <c r="A375" s="83"/>
      <c r="B375" s="104" t="s">
        <v>236</v>
      </c>
      <c r="C375" s="195"/>
      <c r="D375" s="105"/>
      <c r="E375" s="93"/>
      <c r="F375" s="12"/>
      <c r="G375" s="86"/>
      <c r="H375" s="189">
        <f t="shared" si="22"/>
        <v>0</v>
      </c>
      <c r="I375" s="8"/>
      <c r="J375" s="8"/>
      <c r="K375" s="8"/>
      <c r="L375" s="8"/>
      <c r="M375" s="8"/>
      <c r="N375" s="185"/>
    </row>
    <row r="376" spans="1:14" ht="18">
      <c r="A376" s="103" t="s">
        <v>231</v>
      </c>
      <c r="B376" s="104" t="s">
        <v>232</v>
      </c>
      <c r="C376" s="195">
        <v>100</v>
      </c>
      <c r="D376" s="105">
        <v>100</v>
      </c>
      <c r="E376" s="93">
        <f t="shared" si="23"/>
        <v>0</v>
      </c>
      <c r="F376" s="12">
        <f t="shared" si="24"/>
        <v>100</v>
      </c>
      <c r="G376" s="86"/>
      <c r="H376" s="189">
        <f t="shared" si="22"/>
        <v>100</v>
      </c>
      <c r="I376" s="8"/>
      <c r="J376" s="8"/>
      <c r="K376" s="8"/>
      <c r="L376" s="183">
        <f>D376</f>
        <v>100</v>
      </c>
      <c r="M376" s="8"/>
      <c r="N376" s="185"/>
    </row>
    <row r="377" spans="1:14" ht="18">
      <c r="A377" s="83" t="s">
        <v>116</v>
      </c>
      <c r="B377" s="84" t="s">
        <v>117</v>
      </c>
      <c r="C377" s="94">
        <v>2117477</v>
      </c>
      <c r="D377" s="85">
        <v>2117477</v>
      </c>
      <c r="E377" s="93">
        <f t="shared" si="23"/>
        <v>0</v>
      </c>
      <c r="F377" s="12">
        <f t="shared" si="24"/>
        <v>100</v>
      </c>
      <c r="G377" s="86"/>
      <c r="H377" s="189">
        <f t="shared" si="22"/>
        <v>2117477</v>
      </c>
      <c r="I377" s="8"/>
      <c r="J377" s="8"/>
      <c r="K377" s="8"/>
      <c r="L377" s="183">
        <f>D377</f>
        <v>2117477</v>
      </c>
      <c r="M377" s="8"/>
      <c r="N377" s="185"/>
    </row>
    <row r="378" spans="1:14" ht="18">
      <c r="A378" s="83" t="s">
        <v>22</v>
      </c>
      <c r="B378" s="84" t="s">
        <v>23</v>
      </c>
      <c r="C378" s="94">
        <v>53000</v>
      </c>
      <c r="D378" s="85">
        <v>53000</v>
      </c>
      <c r="E378" s="93">
        <f t="shared" si="23"/>
        <v>0</v>
      </c>
      <c r="F378" s="12">
        <f t="shared" si="24"/>
        <v>100</v>
      </c>
      <c r="G378" s="86"/>
      <c r="H378" s="189">
        <f t="shared" si="22"/>
        <v>53000</v>
      </c>
      <c r="I378" s="183">
        <f>D378</f>
        <v>53000</v>
      </c>
      <c r="J378" s="8"/>
      <c r="K378" s="8"/>
      <c r="L378" s="8"/>
      <c r="M378" s="8"/>
      <c r="N378" s="185"/>
    </row>
    <row r="379" spans="1:14" ht="18">
      <c r="A379" s="83" t="s">
        <v>24</v>
      </c>
      <c r="B379" s="84" t="s">
        <v>25</v>
      </c>
      <c r="C379" s="94">
        <v>3650</v>
      </c>
      <c r="D379" s="85">
        <v>3650</v>
      </c>
      <c r="E379" s="93">
        <f t="shared" si="23"/>
        <v>0</v>
      </c>
      <c r="F379" s="12">
        <f t="shared" si="24"/>
        <v>100</v>
      </c>
      <c r="G379" s="86"/>
      <c r="H379" s="189">
        <f t="shared" si="22"/>
        <v>3650</v>
      </c>
      <c r="I379" s="183">
        <f>D379</f>
        <v>3650</v>
      </c>
      <c r="J379" s="8"/>
      <c r="K379" s="8"/>
      <c r="L379" s="8"/>
      <c r="M379" s="8"/>
      <c r="N379" s="185"/>
    </row>
    <row r="380" spans="1:14" ht="18">
      <c r="A380" s="83" t="s">
        <v>26</v>
      </c>
      <c r="B380" s="84" t="s">
        <v>27</v>
      </c>
      <c r="C380" s="94">
        <v>19850</v>
      </c>
      <c r="D380" s="85">
        <v>19850</v>
      </c>
      <c r="E380" s="93">
        <f t="shared" si="23"/>
        <v>0</v>
      </c>
      <c r="F380" s="12">
        <f t="shared" si="24"/>
        <v>100</v>
      </c>
      <c r="G380" s="86"/>
      <c r="H380" s="189">
        <f t="shared" si="22"/>
        <v>19850</v>
      </c>
      <c r="I380" s="183">
        <f>D380</f>
        <v>19850</v>
      </c>
      <c r="J380" s="8"/>
      <c r="K380" s="8"/>
      <c r="L380" s="8"/>
      <c r="M380" s="8"/>
      <c r="N380" s="185"/>
    </row>
    <row r="381" spans="1:14" ht="18">
      <c r="A381" s="83" t="s">
        <v>28</v>
      </c>
      <c r="B381" s="84" t="s">
        <v>29</v>
      </c>
      <c r="C381" s="94">
        <v>1450</v>
      </c>
      <c r="D381" s="85">
        <v>1450</v>
      </c>
      <c r="E381" s="93">
        <f t="shared" si="23"/>
        <v>0</v>
      </c>
      <c r="F381" s="12">
        <f t="shared" si="24"/>
        <v>100</v>
      </c>
      <c r="G381" s="86"/>
      <c r="H381" s="189">
        <f t="shared" si="22"/>
        <v>1450</v>
      </c>
      <c r="I381" s="183">
        <f>D381</f>
        <v>1450</v>
      </c>
      <c r="J381" s="8"/>
      <c r="K381" s="8"/>
      <c r="L381" s="8"/>
      <c r="M381" s="8"/>
      <c r="N381" s="185"/>
    </row>
    <row r="382" spans="1:14" ht="18">
      <c r="A382" s="83" t="s">
        <v>32</v>
      </c>
      <c r="B382" s="84" t="s">
        <v>33</v>
      </c>
      <c r="C382" s="94">
        <v>600</v>
      </c>
      <c r="D382" s="85">
        <v>600</v>
      </c>
      <c r="E382" s="93">
        <f t="shared" si="23"/>
        <v>0</v>
      </c>
      <c r="F382" s="12">
        <f t="shared" si="24"/>
        <v>100</v>
      </c>
      <c r="G382" s="86"/>
      <c r="H382" s="189">
        <f t="shared" si="22"/>
        <v>600</v>
      </c>
      <c r="I382" s="183">
        <f>D382</f>
        <v>600</v>
      </c>
      <c r="J382" s="8"/>
      <c r="K382" s="8"/>
      <c r="L382" s="8"/>
      <c r="M382" s="8"/>
      <c r="N382" s="185"/>
    </row>
    <row r="383" spans="1:14" ht="18">
      <c r="A383" s="83" t="s">
        <v>34</v>
      </c>
      <c r="B383" s="84" t="s">
        <v>35</v>
      </c>
      <c r="C383" s="94">
        <v>2100</v>
      </c>
      <c r="D383" s="85">
        <v>2100</v>
      </c>
      <c r="E383" s="93">
        <f t="shared" si="23"/>
        <v>0</v>
      </c>
      <c r="F383" s="12">
        <f t="shared" si="24"/>
        <v>100</v>
      </c>
      <c r="G383" s="86"/>
      <c r="H383" s="189">
        <f t="shared" si="22"/>
        <v>2100</v>
      </c>
      <c r="I383" s="8"/>
      <c r="J383" s="183">
        <f aca="true" t="shared" si="25" ref="J383:J388">D383</f>
        <v>2100</v>
      </c>
      <c r="K383" s="8"/>
      <c r="L383" s="8"/>
      <c r="M383" s="8"/>
      <c r="N383" s="185"/>
    </row>
    <row r="384" spans="1:14" ht="18">
      <c r="A384" s="83" t="s">
        <v>68</v>
      </c>
      <c r="B384" s="84" t="s">
        <v>69</v>
      </c>
      <c r="C384" s="94">
        <v>673</v>
      </c>
      <c r="D384" s="85">
        <v>673</v>
      </c>
      <c r="E384" s="93">
        <f t="shared" si="23"/>
        <v>0</v>
      </c>
      <c r="F384" s="12">
        <f t="shared" si="24"/>
        <v>100</v>
      </c>
      <c r="G384" s="86"/>
      <c r="H384" s="189">
        <f t="shared" si="22"/>
        <v>673</v>
      </c>
      <c r="I384" s="8"/>
      <c r="J384" s="183">
        <f t="shared" si="25"/>
        <v>673</v>
      </c>
      <c r="K384" s="8"/>
      <c r="L384" s="8"/>
      <c r="M384" s="8"/>
      <c r="N384" s="185"/>
    </row>
    <row r="385" spans="1:14" ht="18">
      <c r="A385" s="83" t="s">
        <v>70</v>
      </c>
      <c r="B385" s="84" t="s">
        <v>71</v>
      </c>
      <c r="C385" s="94">
        <v>150</v>
      </c>
      <c r="D385" s="85">
        <v>150</v>
      </c>
      <c r="E385" s="93">
        <f t="shared" si="23"/>
        <v>0</v>
      </c>
      <c r="F385" s="12">
        <f t="shared" si="24"/>
        <v>100</v>
      </c>
      <c r="G385" s="86"/>
      <c r="H385" s="189">
        <f t="shared" si="22"/>
        <v>150</v>
      </c>
      <c r="I385" s="8"/>
      <c r="J385" s="183">
        <f t="shared" si="25"/>
        <v>150</v>
      </c>
      <c r="K385" s="8"/>
      <c r="L385" s="8"/>
      <c r="M385" s="8"/>
      <c r="N385" s="185"/>
    </row>
    <row r="386" spans="1:14" ht="18">
      <c r="A386" s="83" t="s">
        <v>16</v>
      </c>
      <c r="B386" s="84" t="s">
        <v>17</v>
      </c>
      <c r="C386" s="94">
        <v>5000</v>
      </c>
      <c r="D386" s="85">
        <v>5000</v>
      </c>
      <c r="E386" s="93">
        <f t="shared" si="23"/>
        <v>0</v>
      </c>
      <c r="F386" s="12">
        <f t="shared" si="24"/>
        <v>100</v>
      </c>
      <c r="G386" s="86"/>
      <c r="H386" s="189">
        <f t="shared" si="22"/>
        <v>5000</v>
      </c>
      <c r="I386" s="8"/>
      <c r="J386" s="183">
        <f t="shared" si="25"/>
        <v>5000</v>
      </c>
      <c r="K386" s="8"/>
      <c r="L386" s="8"/>
      <c r="M386" s="8"/>
      <c r="N386" s="185"/>
    </row>
    <row r="387" spans="1:14" ht="18">
      <c r="A387" s="83" t="s">
        <v>177</v>
      </c>
      <c r="B387" s="84" t="s">
        <v>178</v>
      </c>
      <c r="C387" s="94">
        <v>150</v>
      </c>
      <c r="D387" s="85">
        <v>150</v>
      </c>
      <c r="E387" s="93">
        <f t="shared" si="23"/>
        <v>0</v>
      </c>
      <c r="F387" s="12">
        <f t="shared" si="24"/>
        <v>100</v>
      </c>
      <c r="G387" s="86"/>
      <c r="H387" s="189">
        <f t="shared" si="22"/>
        <v>150</v>
      </c>
      <c r="I387" s="8"/>
      <c r="J387" s="183">
        <f t="shared" si="25"/>
        <v>150</v>
      </c>
      <c r="K387" s="8"/>
      <c r="L387" s="8"/>
      <c r="M387" s="8"/>
      <c r="N387" s="185"/>
    </row>
    <row r="388" spans="1:14" ht="18">
      <c r="A388" s="83" t="s">
        <v>214</v>
      </c>
      <c r="B388" s="84" t="s">
        <v>212</v>
      </c>
      <c r="C388" s="94">
        <v>300</v>
      </c>
      <c r="D388" s="85">
        <v>300</v>
      </c>
      <c r="E388" s="93">
        <f t="shared" si="23"/>
        <v>0</v>
      </c>
      <c r="F388" s="12">
        <f t="shared" si="24"/>
        <v>100</v>
      </c>
      <c r="G388" s="86"/>
      <c r="H388" s="189">
        <f t="shared" si="22"/>
        <v>300</v>
      </c>
      <c r="I388" s="8"/>
      <c r="J388" s="183">
        <f t="shared" si="25"/>
        <v>300</v>
      </c>
      <c r="K388" s="8"/>
      <c r="L388" s="8"/>
      <c r="M388" s="8"/>
      <c r="N388" s="185"/>
    </row>
    <row r="389" spans="1:14" ht="18">
      <c r="A389" s="83"/>
      <c r="B389" s="84" t="s">
        <v>215</v>
      </c>
      <c r="C389" s="94"/>
      <c r="D389" s="85"/>
      <c r="E389" s="93"/>
      <c r="F389" s="12"/>
      <c r="G389" s="86"/>
      <c r="H389" s="189">
        <f t="shared" si="22"/>
        <v>0</v>
      </c>
      <c r="I389" s="8"/>
      <c r="J389" s="8"/>
      <c r="K389" s="8"/>
      <c r="L389" s="8"/>
      <c r="M389" s="8"/>
      <c r="N389" s="185"/>
    </row>
    <row r="390" spans="1:14" ht="18">
      <c r="A390" s="83" t="s">
        <v>36</v>
      </c>
      <c r="B390" s="84" t="s">
        <v>37</v>
      </c>
      <c r="C390" s="94">
        <v>200</v>
      </c>
      <c r="D390" s="85">
        <v>200</v>
      </c>
      <c r="E390" s="93">
        <f t="shared" si="23"/>
        <v>0</v>
      </c>
      <c r="F390" s="12">
        <f t="shared" si="24"/>
        <v>100</v>
      </c>
      <c r="G390" s="86"/>
      <c r="H390" s="189">
        <f t="shared" si="22"/>
        <v>200</v>
      </c>
      <c r="I390" s="8"/>
      <c r="J390" s="183">
        <f>D390</f>
        <v>200</v>
      </c>
      <c r="K390" s="8"/>
      <c r="L390" s="8"/>
      <c r="M390" s="8"/>
      <c r="N390" s="185"/>
    </row>
    <row r="391" spans="1:14" ht="18">
      <c r="A391" s="83" t="s">
        <v>38</v>
      </c>
      <c r="B391" s="84" t="s">
        <v>72</v>
      </c>
      <c r="C391" s="94">
        <v>1900</v>
      </c>
      <c r="D391" s="85">
        <v>1900</v>
      </c>
      <c r="E391" s="93">
        <f t="shared" si="23"/>
        <v>0</v>
      </c>
      <c r="F391" s="12">
        <f t="shared" si="24"/>
        <v>100</v>
      </c>
      <c r="G391" s="86"/>
      <c r="H391" s="189">
        <f aca="true" t="shared" si="26" ref="H391:H454">SUM(I391:M391)</f>
        <v>1900</v>
      </c>
      <c r="I391" s="8"/>
      <c r="J391" s="183">
        <f>D391</f>
        <v>1900</v>
      </c>
      <c r="K391" s="8"/>
      <c r="L391" s="8"/>
      <c r="M391" s="8"/>
      <c r="N391" s="185"/>
    </row>
    <row r="392" spans="1:14" ht="18">
      <c r="A392" s="83" t="s">
        <v>73</v>
      </c>
      <c r="B392" s="108" t="s">
        <v>74</v>
      </c>
      <c r="C392" s="94">
        <v>0</v>
      </c>
      <c r="D392" s="85">
        <v>0</v>
      </c>
      <c r="E392" s="93">
        <f t="shared" si="23"/>
        <v>0</v>
      </c>
      <c r="F392" s="12"/>
      <c r="G392" s="86"/>
      <c r="H392" s="189">
        <f t="shared" si="26"/>
        <v>0</v>
      </c>
      <c r="I392" s="8"/>
      <c r="J392" s="8"/>
      <c r="K392" s="8"/>
      <c r="L392" s="8"/>
      <c r="M392" s="8"/>
      <c r="N392" s="186">
        <f>D392</f>
        <v>0</v>
      </c>
    </row>
    <row r="393" spans="1:14" ht="18">
      <c r="A393" s="83"/>
      <c r="B393" s="108" t="s">
        <v>75</v>
      </c>
      <c r="C393" s="94"/>
      <c r="D393" s="85"/>
      <c r="E393" s="93"/>
      <c r="F393" s="12"/>
      <c r="G393" s="86"/>
      <c r="H393" s="189">
        <f t="shared" si="26"/>
        <v>0</v>
      </c>
      <c r="I393" s="8"/>
      <c r="J393" s="8"/>
      <c r="K393" s="8"/>
      <c r="L393" s="8"/>
      <c r="M393" s="8"/>
      <c r="N393" s="185"/>
    </row>
    <row r="394" spans="1:14" ht="18">
      <c r="A394" s="83" t="s">
        <v>237</v>
      </c>
      <c r="B394" s="108" t="s">
        <v>238</v>
      </c>
      <c r="C394" s="94">
        <v>200</v>
      </c>
      <c r="D394" s="85">
        <v>200</v>
      </c>
      <c r="E394" s="93">
        <f t="shared" si="23"/>
        <v>0</v>
      </c>
      <c r="F394" s="12">
        <f t="shared" si="24"/>
        <v>100</v>
      </c>
      <c r="G394" s="86"/>
      <c r="H394" s="189">
        <f t="shared" si="26"/>
        <v>200</v>
      </c>
      <c r="I394" s="8"/>
      <c r="J394" s="183">
        <f>D394</f>
        <v>200</v>
      </c>
      <c r="K394" s="8"/>
      <c r="L394" s="8"/>
      <c r="M394" s="8"/>
      <c r="N394" s="185"/>
    </row>
    <row r="395" spans="1:14" ht="18">
      <c r="A395" s="83"/>
      <c r="B395" s="108" t="s">
        <v>236</v>
      </c>
      <c r="C395" s="94"/>
      <c r="D395" s="85"/>
      <c r="E395" s="93"/>
      <c r="F395" s="12"/>
      <c r="G395" s="86"/>
      <c r="H395" s="189">
        <f t="shared" si="26"/>
        <v>0</v>
      </c>
      <c r="I395" s="8"/>
      <c r="J395" s="8"/>
      <c r="K395" s="8"/>
      <c r="L395" s="8"/>
      <c r="M395" s="8"/>
      <c r="N395" s="185"/>
    </row>
    <row r="396" spans="1:14" ht="18">
      <c r="A396" s="83" t="s">
        <v>223</v>
      </c>
      <c r="B396" s="108" t="s">
        <v>228</v>
      </c>
      <c r="C396" s="94">
        <v>800</v>
      </c>
      <c r="D396" s="85">
        <v>800</v>
      </c>
      <c r="E396" s="93">
        <f t="shared" si="23"/>
        <v>0</v>
      </c>
      <c r="F396" s="12">
        <f t="shared" si="24"/>
        <v>100</v>
      </c>
      <c r="G396" s="86"/>
      <c r="H396" s="189">
        <f t="shared" si="26"/>
        <v>800</v>
      </c>
      <c r="I396" s="8"/>
      <c r="J396" s="183">
        <f>D396</f>
        <v>800</v>
      </c>
      <c r="K396" s="8"/>
      <c r="L396" s="8"/>
      <c r="M396" s="8"/>
      <c r="N396" s="185"/>
    </row>
    <row r="397" spans="1:14" ht="18">
      <c r="A397" s="83"/>
      <c r="B397" s="108" t="s">
        <v>225</v>
      </c>
      <c r="C397" s="94"/>
      <c r="D397" s="85"/>
      <c r="E397" s="93"/>
      <c r="F397" s="12"/>
      <c r="G397" s="86"/>
      <c r="H397" s="189">
        <f t="shared" si="26"/>
        <v>0</v>
      </c>
      <c r="I397" s="8"/>
      <c r="J397" s="8"/>
      <c r="K397" s="8"/>
      <c r="L397" s="8"/>
      <c r="M397" s="8"/>
      <c r="N397" s="185"/>
    </row>
    <row r="398" spans="1:14" ht="18">
      <c r="A398" s="83" t="s">
        <v>216</v>
      </c>
      <c r="B398" s="108" t="s">
        <v>218</v>
      </c>
      <c r="C398" s="94">
        <v>300</v>
      </c>
      <c r="D398" s="85">
        <v>300</v>
      </c>
      <c r="E398" s="93">
        <f t="shared" si="23"/>
        <v>0</v>
      </c>
      <c r="F398" s="12">
        <f t="shared" si="24"/>
        <v>100</v>
      </c>
      <c r="G398" s="86"/>
      <c r="H398" s="189">
        <f t="shared" si="26"/>
        <v>300</v>
      </c>
      <c r="I398" s="8"/>
      <c r="J398" s="183">
        <f>D398</f>
        <v>300</v>
      </c>
      <c r="K398" s="8"/>
      <c r="L398" s="8"/>
      <c r="M398" s="8"/>
      <c r="N398" s="185"/>
    </row>
    <row r="399" spans="1:14" ht="18">
      <c r="A399" s="83"/>
      <c r="B399" s="108" t="s">
        <v>217</v>
      </c>
      <c r="C399" s="94"/>
      <c r="D399" s="85"/>
      <c r="E399" s="93"/>
      <c r="F399" s="12"/>
      <c r="G399" s="86"/>
      <c r="H399" s="189">
        <f t="shared" si="26"/>
        <v>0</v>
      </c>
      <c r="I399" s="8"/>
      <c r="J399" s="8"/>
      <c r="K399" s="8"/>
      <c r="L399" s="8"/>
      <c r="M399" s="8"/>
      <c r="N399" s="185"/>
    </row>
    <row r="400" spans="1:14" ht="18">
      <c r="A400" s="83" t="s">
        <v>219</v>
      </c>
      <c r="B400" s="108" t="s">
        <v>220</v>
      </c>
      <c r="C400" s="94">
        <v>500</v>
      </c>
      <c r="D400" s="85">
        <v>500</v>
      </c>
      <c r="E400" s="93">
        <f t="shared" si="23"/>
        <v>0</v>
      </c>
      <c r="F400" s="12">
        <f t="shared" si="24"/>
        <v>100</v>
      </c>
      <c r="G400" s="86"/>
      <c r="H400" s="189">
        <f t="shared" si="26"/>
        <v>500</v>
      </c>
      <c r="I400" s="8"/>
      <c r="J400" s="183">
        <f>D400</f>
        <v>500</v>
      </c>
      <c r="K400" s="8"/>
      <c r="L400" s="8"/>
      <c r="M400" s="8"/>
      <c r="N400" s="185"/>
    </row>
    <row r="401" spans="1:14" ht="18">
      <c r="A401" s="83"/>
      <c r="B401" s="108" t="s">
        <v>221</v>
      </c>
      <c r="C401" s="94"/>
      <c r="D401" s="85"/>
      <c r="E401" s="93"/>
      <c r="F401" s="12"/>
      <c r="G401" s="86"/>
      <c r="H401" s="189">
        <f t="shared" si="26"/>
        <v>0</v>
      </c>
      <c r="I401" s="8"/>
      <c r="J401" s="8"/>
      <c r="K401" s="8"/>
      <c r="L401" s="8"/>
      <c r="M401" s="8"/>
      <c r="N401" s="185"/>
    </row>
    <row r="402" spans="1:14" ht="18">
      <c r="A402" s="83"/>
      <c r="B402" s="108"/>
      <c r="C402" s="94"/>
      <c r="D402" s="85"/>
      <c r="E402" s="93"/>
      <c r="F402" s="12"/>
      <c r="G402" s="86"/>
      <c r="H402" s="189">
        <f t="shared" si="26"/>
        <v>0</v>
      </c>
      <c r="I402" s="8"/>
      <c r="J402" s="8"/>
      <c r="K402" s="8"/>
      <c r="L402" s="8"/>
      <c r="M402" s="8"/>
      <c r="N402" s="185"/>
    </row>
    <row r="403" spans="1:14" ht="18">
      <c r="A403" s="126" t="s">
        <v>118</v>
      </c>
      <c r="B403" s="127" t="s">
        <v>119</v>
      </c>
      <c r="C403" s="129">
        <f>SUM(C404)</f>
        <v>4240</v>
      </c>
      <c r="D403" s="128">
        <f>SUM(D404)</f>
        <v>3710</v>
      </c>
      <c r="E403" s="117">
        <f>D403-C403</f>
        <v>-530</v>
      </c>
      <c r="F403" s="118">
        <f t="shared" si="24"/>
        <v>87.5</v>
      </c>
      <c r="G403" s="86" t="s">
        <v>341</v>
      </c>
      <c r="H403" s="189">
        <f t="shared" si="26"/>
        <v>0</v>
      </c>
      <c r="I403" s="8"/>
      <c r="J403" s="8"/>
      <c r="K403" s="8"/>
      <c r="L403" s="8"/>
      <c r="M403" s="8"/>
      <c r="N403" s="185"/>
    </row>
    <row r="404" spans="1:14" ht="18">
      <c r="A404" s="122" t="s">
        <v>120</v>
      </c>
      <c r="B404" s="123" t="s">
        <v>119</v>
      </c>
      <c r="C404" s="125">
        <v>4240</v>
      </c>
      <c r="D404" s="124">
        <f>470+3240</f>
        <v>3710</v>
      </c>
      <c r="E404" s="117">
        <f>D404-C404</f>
        <v>-530</v>
      </c>
      <c r="F404" s="118">
        <f t="shared" si="24"/>
        <v>87.5</v>
      </c>
      <c r="G404" s="86" t="s">
        <v>340</v>
      </c>
      <c r="H404" s="189">
        <f t="shared" si="26"/>
        <v>3710</v>
      </c>
      <c r="I404" s="183">
        <f>D404</f>
        <v>3710</v>
      </c>
      <c r="J404" s="8"/>
      <c r="K404" s="8"/>
      <c r="L404" s="8"/>
      <c r="M404" s="8"/>
      <c r="N404" s="185"/>
    </row>
    <row r="405" spans="1:14" ht="18">
      <c r="A405" s="83"/>
      <c r="B405" s="84"/>
      <c r="C405" s="94"/>
      <c r="D405" s="85"/>
      <c r="E405" s="93"/>
      <c r="F405" s="12"/>
      <c r="G405" s="86"/>
      <c r="H405" s="189">
        <f t="shared" si="26"/>
        <v>0</v>
      </c>
      <c r="I405" s="8"/>
      <c r="J405" s="8"/>
      <c r="K405" s="8"/>
      <c r="L405" s="8"/>
      <c r="M405" s="8"/>
      <c r="N405" s="185"/>
    </row>
    <row r="406" spans="1:14" ht="18">
      <c r="A406" s="95" t="s">
        <v>121</v>
      </c>
      <c r="B406" s="96" t="s">
        <v>122</v>
      </c>
      <c r="C406" s="98">
        <f>SUM(C408:C409)</f>
        <v>317700</v>
      </c>
      <c r="D406" s="97">
        <f>SUM(D408:D409)</f>
        <v>317700</v>
      </c>
      <c r="E406" s="93">
        <f aca="true" t="shared" si="27" ref="E406:E469">D406-C406</f>
        <v>0</v>
      </c>
      <c r="F406" s="12">
        <f aca="true" t="shared" si="28" ref="F406:F472">D406*100/C406</f>
        <v>100</v>
      </c>
      <c r="G406" s="86"/>
      <c r="H406" s="189">
        <f t="shared" si="26"/>
        <v>0</v>
      </c>
      <c r="I406" s="8"/>
      <c r="J406" s="8"/>
      <c r="K406" s="8"/>
      <c r="L406" s="8"/>
      <c r="M406" s="8"/>
      <c r="N406" s="185"/>
    </row>
    <row r="407" spans="1:14" ht="18">
      <c r="A407" s="83"/>
      <c r="B407" s="96" t="s">
        <v>123</v>
      </c>
      <c r="C407" s="94"/>
      <c r="D407" s="85"/>
      <c r="E407" s="93"/>
      <c r="F407" s="12"/>
      <c r="G407" s="86"/>
      <c r="H407" s="189">
        <f t="shared" si="26"/>
        <v>0</v>
      </c>
      <c r="I407" s="8"/>
      <c r="J407" s="8"/>
      <c r="K407" s="8"/>
      <c r="L407" s="8"/>
      <c r="M407" s="8"/>
      <c r="N407" s="185"/>
    </row>
    <row r="408" spans="1:14" ht="18">
      <c r="A408" s="83" t="s">
        <v>116</v>
      </c>
      <c r="B408" s="84" t="s">
        <v>117</v>
      </c>
      <c r="C408" s="94">
        <v>317700</v>
      </c>
      <c r="D408" s="85">
        <v>317700</v>
      </c>
      <c r="E408" s="93">
        <f t="shared" si="27"/>
        <v>0</v>
      </c>
      <c r="F408" s="12">
        <f t="shared" si="28"/>
        <v>100</v>
      </c>
      <c r="G408" s="86"/>
      <c r="H408" s="189">
        <f t="shared" si="26"/>
        <v>317700</v>
      </c>
      <c r="I408" s="8"/>
      <c r="J408" s="8"/>
      <c r="K408" s="8"/>
      <c r="L408" s="183">
        <f>D408</f>
        <v>317700</v>
      </c>
      <c r="M408" s="8"/>
      <c r="N408" s="185"/>
    </row>
    <row r="409" spans="1:14" ht="18">
      <c r="A409" s="83"/>
      <c r="B409" s="84"/>
      <c r="C409" s="94"/>
      <c r="D409" s="85"/>
      <c r="E409" s="93"/>
      <c r="F409" s="12"/>
      <c r="G409" s="86"/>
      <c r="H409" s="189">
        <f t="shared" si="26"/>
        <v>0</v>
      </c>
      <c r="I409" s="8"/>
      <c r="J409" s="8"/>
      <c r="K409" s="8"/>
      <c r="L409" s="8"/>
      <c r="M409" s="8"/>
      <c r="N409" s="185"/>
    </row>
    <row r="410" spans="1:14" ht="18">
      <c r="A410" s="83"/>
      <c r="B410" s="84"/>
      <c r="C410" s="94"/>
      <c r="D410" s="85"/>
      <c r="E410" s="93"/>
      <c r="F410" s="12"/>
      <c r="G410" s="86"/>
      <c r="H410" s="189">
        <f t="shared" si="26"/>
        <v>0</v>
      </c>
      <c r="I410" s="8"/>
      <c r="J410" s="8"/>
      <c r="K410" s="8"/>
      <c r="L410" s="8"/>
      <c r="M410" s="8"/>
      <c r="N410" s="185"/>
    </row>
    <row r="411" spans="1:14" ht="18">
      <c r="A411" s="126" t="s">
        <v>124</v>
      </c>
      <c r="B411" s="127" t="s">
        <v>125</v>
      </c>
      <c r="C411" s="129">
        <f>SUM(C412)</f>
        <v>50000</v>
      </c>
      <c r="D411" s="128">
        <f>SUM(D412)</f>
        <v>30000</v>
      </c>
      <c r="E411" s="117">
        <f t="shared" si="27"/>
        <v>-20000</v>
      </c>
      <c r="F411" s="118">
        <f t="shared" si="28"/>
        <v>60</v>
      </c>
      <c r="G411" s="86"/>
      <c r="H411" s="189">
        <f t="shared" si="26"/>
        <v>0</v>
      </c>
      <c r="I411" s="8"/>
      <c r="J411" s="8"/>
      <c r="K411" s="8"/>
      <c r="L411" s="8"/>
      <c r="M411" s="8"/>
      <c r="N411" s="185"/>
    </row>
    <row r="412" spans="1:14" ht="18">
      <c r="A412" s="122" t="s">
        <v>116</v>
      </c>
      <c r="B412" s="123" t="s">
        <v>117</v>
      </c>
      <c r="C412" s="125">
        <v>50000</v>
      </c>
      <c r="D412" s="124">
        <v>30000</v>
      </c>
      <c r="E412" s="117">
        <f t="shared" si="27"/>
        <v>-20000</v>
      </c>
      <c r="F412" s="118">
        <f t="shared" si="28"/>
        <v>60</v>
      </c>
      <c r="G412" s="86"/>
      <c r="H412" s="189">
        <f t="shared" si="26"/>
        <v>30000</v>
      </c>
      <c r="I412" s="8"/>
      <c r="J412" s="8"/>
      <c r="K412" s="8"/>
      <c r="L412" s="183">
        <f>D412</f>
        <v>30000</v>
      </c>
      <c r="M412" s="8"/>
      <c r="N412" s="185"/>
    </row>
    <row r="413" spans="1:14" ht="18">
      <c r="A413" s="83"/>
      <c r="B413" s="84"/>
      <c r="C413" s="94"/>
      <c r="D413" s="85"/>
      <c r="E413" s="93"/>
      <c r="F413" s="12"/>
      <c r="G413" s="86"/>
      <c r="H413" s="189">
        <f t="shared" si="26"/>
        <v>0</v>
      </c>
      <c r="I413" s="8"/>
      <c r="J413" s="8"/>
      <c r="K413" s="8"/>
      <c r="L413" s="8"/>
      <c r="M413" s="8"/>
      <c r="N413" s="185"/>
    </row>
    <row r="414" spans="1:14" ht="18">
      <c r="A414" s="126" t="s">
        <v>342</v>
      </c>
      <c r="B414" s="127" t="s">
        <v>343</v>
      </c>
      <c r="C414" s="129">
        <f>SUM(C415)</f>
        <v>0</v>
      </c>
      <c r="D414" s="128">
        <f>SUM(D415)</f>
        <v>31600</v>
      </c>
      <c r="E414" s="117">
        <f>D414-C414</f>
        <v>31600</v>
      </c>
      <c r="F414" s="118" t="e">
        <f>D414*100/C414</f>
        <v>#DIV/0!</v>
      </c>
      <c r="G414" s="86"/>
      <c r="H414" s="189">
        <f t="shared" si="26"/>
        <v>0</v>
      </c>
      <c r="I414" s="8"/>
      <c r="J414" s="8"/>
      <c r="K414" s="8"/>
      <c r="L414" s="8"/>
      <c r="M414" s="8"/>
      <c r="N414" s="185"/>
    </row>
    <row r="415" spans="1:14" ht="18">
      <c r="A415" s="122" t="s">
        <v>116</v>
      </c>
      <c r="B415" s="123" t="s">
        <v>117</v>
      </c>
      <c r="C415" s="125">
        <v>0</v>
      </c>
      <c r="D415" s="124">
        <v>31600</v>
      </c>
      <c r="E415" s="117">
        <f>D415-C415</f>
        <v>31600</v>
      </c>
      <c r="F415" s="118" t="e">
        <f>D415*100/C415</f>
        <v>#DIV/0!</v>
      </c>
      <c r="G415" s="86"/>
      <c r="H415" s="189">
        <f t="shared" si="26"/>
        <v>31600</v>
      </c>
      <c r="I415" s="8"/>
      <c r="J415" s="8"/>
      <c r="K415" s="8"/>
      <c r="L415" s="183">
        <f>D415</f>
        <v>31600</v>
      </c>
      <c r="M415" s="8"/>
      <c r="N415" s="185"/>
    </row>
    <row r="416" spans="1:14" ht="18">
      <c r="A416" s="83"/>
      <c r="B416" s="84"/>
      <c r="C416" s="94"/>
      <c r="D416" s="85"/>
      <c r="E416" s="93"/>
      <c r="F416" s="12"/>
      <c r="G416" s="86"/>
      <c r="H416" s="189">
        <f t="shared" si="26"/>
        <v>0</v>
      </c>
      <c r="I416" s="8"/>
      <c r="J416" s="8"/>
      <c r="K416" s="8"/>
      <c r="L416" s="8"/>
      <c r="M416" s="8"/>
      <c r="N416" s="185"/>
    </row>
    <row r="417" spans="1:14" ht="18">
      <c r="A417" s="95" t="s">
        <v>126</v>
      </c>
      <c r="B417" s="96" t="s">
        <v>127</v>
      </c>
      <c r="C417" s="98">
        <f>SUM(C418:C445)</f>
        <v>300000</v>
      </c>
      <c r="D417" s="97">
        <f>SUM(D418:D445)</f>
        <v>378600</v>
      </c>
      <c r="E417" s="93">
        <f t="shared" si="27"/>
        <v>78600</v>
      </c>
      <c r="F417" s="12">
        <f t="shared" si="28"/>
        <v>126.2</v>
      </c>
      <c r="G417" s="86"/>
      <c r="H417" s="189">
        <f t="shared" si="26"/>
        <v>0</v>
      </c>
      <c r="I417" s="8"/>
      <c r="J417" s="8"/>
      <c r="K417" s="8"/>
      <c r="L417" s="8"/>
      <c r="M417" s="8"/>
      <c r="N417" s="185"/>
    </row>
    <row r="418" spans="1:14" ht="18">
      <c r="A418" s="103" t="s">
        <v>231</v>
      </c>
      <c r="B418" s="104" t="s">
        <v>232</v>
      </c>
      <c r="C418" s="195">
        <v>800</v>
      </c>
      <c r="D418" s="105">
        <v>800</v>
      </c>
      <c r="E418" s="93">
        <f t="shared" si="27"/>
        <v>0</v>
      </c>
      <c r="F418" s="12">
        <f t="shared" si="28"/>
        <v>100</v>
      </c>
      <c r="G418" s="86"/>
      <c r="H418" s="189">
        <f t="shared" si="26"/>
        <v>800</v>
      </c>
      <c r="I418" s="8"/>
      <c r="J418" s="8"/>
      <c r="K418" s="8"/>
      <c r="L418" s="183">
        <f>D418</f>
        <v>800</v>
      </c>
      <c r="M418" s="8"/>
      <c r="N418" s="185"/>
    </row>
    <row r="419" spans="1:14" ht="18">
      <c r="A419" s="83" t="s">
        <v>22</v>
      </c>
      <c r="B419" s="84" t="s">
        <v>23</v>
      </c>
      <c r="C419" s="94">
        <v>160000</v>
      </c>
      <c r="D419" s="85">
        <f>160000+78600</f>
        <v>238600</v>
      </c>
      <c r="E419" s="93">
        <f t="shared" si="27"/>
        <v>78600</v>
      </c>
      <c r="F419" s="12">
        <f t="shared" si="28"/>
        <v>149.125</v>
      </c>
      <c r="G419" s="86"/>
      <c r="H419" s="189">
        <f t="shared" si="26"/>
        <v>238600</v>
      </c>
      <c r="I419" s="183">
        <f>D419</f>
        <v>238600</v>
      </c>
      <c r="J419" s="8"/>
      <c r="K419" s="8"/>
      <c r="L419" s="8"/>
      <c r="M419" s="8"/>
      <c r="N419" s="185"/>
    </row>
    <row r="420" spans="1:14" ht="18">
      <c r="A420" s="83" t="s">
        <v>24</v>
      </c>
      <c r="B420" s="84" t="s">
        <v>25</v>
      </c>
      <c r="C420" s="94">
        <v>14000</v>
      </c>
      <c r="D420" s="85">
        <v>14000</v>
      </c>
      <c r="E420" s="93">
        <f t="shared" si="27"/>
        <v>0</v>
      </c>
      <c r="F420" s="12">
        <f t="shared" si="28"/>
        <v>100</v>
      </c>
      <c r="G420" s="86"/>
      <c r="H420" s="189">
        <f t="shared" si="26"/>
        <v>14000</v>
      </c>
      <c r="I420" s="183">
        <f>D420</f>
        <v>14000</v>
      </c>
      <c r="J420" s="8"/>
      <c r="K420" s="8"/>
      <c r="L420" s="8"/>
      <c r="M420" s="8"/>
      <c r="N420" s="185"/>
    </row>
    <row r="421" spans="1:14" ht="18">
      <c r="A421" s="83" t="s">
        <v>26</v>
      </c>
      <c r="B421" s="84" t="s">
        <v>27</v>
      </c>
      <c r="C421" s="94">
        <v>28000</v>
      </c>
      <c r="D421" s="85">
        <v>28000</v>
      </c>
      <c r="E421" s="93">
        <f t="shared" si="27"/>
        <v>0</v>
      </c>
      <c r="F421" s="12">
        <f t="shared" si="28"/>
        <v>100</v>
      </c>
      <c r="G421" s="86"/>
      <c r="H421" s="189">
        <f t="shared" si="26"/>
        <v>28000</v>
      </c>
      <c r="I421" s="183">
        <f>D421</f>
        <v>28000</v>
      </c>
      <c r="J421" s="8"/>
      <c r="K421" s="8"/>
      <c r="L421" s="8"/>
      <c r="M421" s="8"/>
      <c r="N421" s="185"/>
    </row>
    <row r="422" spans="1:14" ht="18">
      <c r="A422" s="83" t="s">
        <v>28</v>
      </c>
      <c r="B422" s="84" t="s">
        <v>29</v>
      </c>
      <c r="C422" s="94">
        <v>4000</v>
      </c>
      <c r="D422" s="85">
        <v>4000</v>
      </c>
      <c r="E422" s="93">
        <f t="shared" si="27"/>
        <v>0</v>
      </c>
      <c r="F422" s="12">
        <f t="shared" si="28"/>
        <v>100</v>
      </c>
      <c r="G422" s="86"/>
      <c r="H422" s="189">
        <f t="shared" si="26"/>
        <v>4000</v>
      </c>
      <c r="I422" s="183">
        <f>D422</f>
        <v>4000</v>
      </c>
      <c r="J422" s="8"/>
      <c r="K422" s="8"/>
      <c r="L422" s="8"/>
      <c r="M422" s="8"/>
      <c r="N422" s="185"/>
    </row>
    <row r="423" spans="1:14" ht="18">
      <c r="A423" s="83" t="s">
        <v>32</v>
      </c>
      <c r="B423" s="84" t="s">
        <v>33</v>
      </c>
      <c r="C423" s="94">
        <v>1800</v>
      </c>
      <c r="D423" s="85">
        <v>1800</v>
      </c>
      <c r="E423" s="93">
        <f t="shared" si="27"/>
        <v>0</v>
      </c>
      <c r="F423" s="12">
        <f t="shared" si="28"/>
        <v>100</v>
      </c>
      <c r="G423" s="86"/>
      <c r="H423" s="189">
        <f t="shared" si="26"/>
        <v>1800</v>
      </c>
      <c r="I423" s="183">
        <f>D423</f>
        <v>1800</v>
      </c>
      <c r="J423" s="8"/>
      <c r="K423" s="8"/>
      <c r="L423" s="8"/>
      <c r="M423" s="8"/>
      <c r="N423" s="185"/>
    </row>
    <row r="424" spans="1:14" ht="18">
      <c r="A424" s="83" t="s">
        <v>34</v>
      </c>
      <c r="B424" s="84" t="s">
        <v>35</v>
      </c>
      <c r="C424" s="94">
        <v>15000</v>
      </c>
      <c r="D424" s="85">
        <v>15000</v>
      </c>
      <c r="E424" s="93">
        <f t="shared" si="27"/>
        <v>0</v>
      </c>
      <c r="F424" s="12">
        <f t="shared" si="28"/>
        <v>100</v>
      </c>
      <c r="G424" s="86"/>
      <c r="H424" s="189">
        <f t="shared" si="26"/>
        <v>15000</v>
      </c>
      <c r="I424" s="8"/>
      <c r="J424" s="183">
        <f aca="true" t="shared" si="29" ref="J424:J430">D424</f>
        <v>15000</v>
      </c>
      <c r="K424" s="8"/>
      <c r="L424" s="8"/>
      <c r="M424" s="8"/>
      <c r="N424" s="185"/>
    </row>
    <row r="425" spans="1:14" ht="18">
      <c r="A425" s="83" t="s">
        <v>68</v>
      </c>
      <c r="B425" s="84" t="s">
        <v>69</v>
      </c>
      <c r="C425" s="94">
        <v>15000</v>
      </c>
      <c r="D425" s="85">
        <v>15000</v>
      </c>
      <c r="E425" s="93">
        <f t="shared" si="27"/>
        <v>0</v>
      </c>
      <c r="F425" s="12">
        <f t="shared" si="28"/>
        <v>100</v>
      </c>
      <c r="G425" s="86"/>
      <c r="H425" s="189">
        <f t="shared" si="26"/>
        <v>15000</v>
      </c>
      <c r="I425" s="8"/>
      <c r="J425" s="183">
        <f t="shared" si="29"/>
        <v>15000</v>
      </c>
      <c r="K425" s="8"/>
      <c r="L425" s="8"/>
      <c r="M425" s="8"/>
      <c r="N425" s="185"/>
    </row>
    <row r="426" spans="1:14" ht="18">
      <c r="A426" s="83" t="s">
        <v>44</v>
      </c>
      <c r="B426" s="84" t="s">
        <v>45</v>
      </c>
      <c r="C426" s="94">
        <v>5000</v>
      </c>
      <c r="D426" s="85">
        <v>5000</v>
      </c>
      <c r="E426" s="93">
        <f t="shared" si="27"/>
        <v>0</v>
      </c>
      <c r="F426" s="12">
        <f t="shared" si="28"/>
        <v>100</v>
      </c>
      <c r="G426" s="86"/>
      <c r="H426" s="189">
        <f t="shared" si="26"/>
        <v>5000</v>
      </c>
      <c r="I426" s="8"/>
      <c r="J426" s="183">
        <f t="shared" si="29"/>
        <v>5000</v>
      </c>
      <c r="K426" s="8"/>
      <c r="L426" s="8"/>
      <c r="M426" s="8"/>
      <c r="N426" s="185"/>
    </row>
    <row r="427" spans="1:14" ht="18">
      <c r="A427" s="83" t="s">
        <v>70</v>
      </c>
      <c r="B427" s="84" t="s">
        <v>71</v>
      </c>
      <c r="C427" s="94">
        <v>1000</v>
      </c>
      <c r="D427" s="85">
        <v>1000</v>
      </c>
      <c r="E427" s="93">
        <f t="shared" si="27"/>
        <v>0</v>
      </c>
      <c r="F427" s="12">
        <f t="shared" si="28"/>
        <v>100</v>
      </c>
      <c r="G427" s="86"/>
      <c r="H427" s="189">
        <f t="shared" si="26"/>
        <v>1000</v>
      </c>
      <c r="I427" s="8"/>
      <c r="J427" s="183">
        <f t="shared" si="29"/>
        <v>1000</v>
      </c>
      <c r="K427" s="8"/>
      <c r="L427" s="8"/>
      <c r="M427" s="8"/>
      <c r="N427" s="185"/>
    </row>
    <row r="428" spans="1:14" ht="18">
      <c r="A428" s="83" t="s">
        <v>16</v>
      </c>
      <c r="B428" s="84" t="s">
        <v>17</v>
      </c>
      <c r="C428" s="94">
        <v>20000</v>
      </c>
      <c r="D428" s="85">
        <v>20000</v>
      </c>
      <c r="E428" s="93">
        <f t="shared" si="27"/>
        <v>0</v>
      </c>
      <c r="F428" s="12">
        <f t="shared" si="28"/>
        <v>100</v>
      </c>
      <c r="G428" s="86"/>
      <c r="H428" s="189">
        <f t="shared" si="26"/>
        <v>20000</v>
      </c>
      <c r="I428" s="8"/>
      <c r="J428" s="183">
        <f t="shared" si="29"/>
        <v>20000</v>
      </c>
      <c r="K428" s="8"/>
      <c r="L428" s="8"/>
      <c r="M428" s="8"/>
      <c r="N428" s="185"/>
    </row>
    <row r="429" spans="1:14" ht="18">
      <c r="A429" s="83" t="s">
        <v>177</v>
      </c>
      <c r="B429" s="84" t="s">
        <v>178</v>
      </c>
      <c r="C429" s="94">
        <v>1500</v>
      </c>
      <c r="D429" s="85">
        <v>1500</v>
      </c>
      <c r="E429" s="93">
        <f t="shared" si="27"/>
        <v>0</v>
      </c>
      <c r="F429" s="12">
        <f t="shared" si="28"/>
        <v>100</v>
      </c>
      <c r="G429" s="86"/>
      <c r="H429" s="189">
        <f t="shared" si="26"/>
        <v>1500</v>
      </c>
      <c r="I429" s="8"/>
      <c r="J429" s="183">
        <f t="shared" si="29"/>
        <v>1500</v>
      </c>
      <c r="K429" s="8"/>
      <c r="L429" s="8"/>
      <c r="M429" s="8"/>
      <c r="N429" s="185"/>
    </row>
    <row r="430" spans="1:14" ht="18">
      <c r="A430" s="83" t="s">
        <v>211</v>
      </c>
      <c r="B430" s="84" t="s">
        <v>212</v>
      </c>
      <c r="C430" s="94">
        <v>500</v>
      </c>
      <c r="D430" s="85">
        <v>500</v>
      </c>
      <c r="E430" s="93">
        <f t="shared" si="27"/>
        <v>0</v>
      </c>
      <c r="F430" s="12">
        <f t="shared" si="28"/>
        <v>100</v>
      </c>
      <c r="G430" s="86"/>
      <c r="H430" s="189">
        <f t="shared" si="26"/>
        <v>500</v>
      </c>
      <c r="I430" s="8"/>
      <c r="J430" s="183">
        <f t="shared" si="29"/>
        <v>500</v>
      </c>
      <c r="K430" s="8"/>
      <c r="L430" s="8"/>
      <c r="M430" s="8"/>
      <c r="N430" s="185"/>
    </row>
    <row r="431" spans="1:14" ht="18">
      <c r="A431" s="83"/>
      <c r="B431" s="84" t="s">
        <v>213</v>
      </c>
      <c r="C431" s="94"/>
      <c r="D431" s="85"/>
      <c r="E431" s="93"/>
      <c r="F431" s="12"/>
      <c r="G431" s="86"/>
      <c r="H431" s="189">
        <f t="shared" si="26"/>
        <v>0</v>
      </c>
      <c r="I431" s="8"/>
      <c r="J431" s="8"/>
      <c r="K431" s="8"/>
      <c r="L431" s="8"/>
      <c r="M431" s="8"/>
      <c r="N431" s="185"/>
    </row>
    <row r="432" spans="1:14" ht="18">
      <c r="A432" s="83" t="s">
        <v>214</v>
      </c>
      <c r="B432" s="84" t="s">
        <v>212</v>
      </c>
      <c r="C432" s="94">
        <v>6000</v>
      </c>
      <c r="D432" s="85">
        <v>6000</v>
      </c>
      <c r="E432" s="93">
        <f t="shared" si="27"/>
        <v>0</v>
      </c>
      <c r="F432" s="12">
        <f t="shared" si="28"/>
        <v>100</v>
      </c>
      <c r="G432" s="86"/>
      <c r="H432" s="189">
        <f t="shared" si="26"/>
        <v>6000</v>
      </c>
      <c r="I432" s="8"/>
      <c r="J432" s="183">
        <f>D432</f>
        <v>6000</v>
      </c>
      <c r="K432" s="8"/>
      <c r="L432" s="8"/>
      <c r="M432" s="8"/>
      <c r="N432" s="185"/>
    </row>
    <row r="433" spans="1:14" ht="18">
      <c r="A433" s="83"/>
      <c r="B433" s="84" t="s">
        <v>215</v>
      </c>
      <c r="C433" s="94"/>
      <c r="D433" s="85"/>
      <c r="E433" s="93"/>
      <c r="F433" s="12"/>
      <c r="G433" s="86"/>
      <c r="H433" s="189">
        <f t="shared" si="26"/>
        <v>0</v>
      </c>
      <c r="I433" s="8"/>
      <c r="J433" s="8"/>
      <c r="K433" s="8"/>
      <c r="L433" s="8"/>
      <c r="M433" s="8"/>
      <c r="N433" s="185"/>
    </row>
    <row r="434" spans="1:14" ht="18">
      <c r="A434" s="83" t="s">
        <v>240</v>
      </c>
      <c r="B434" s="84" t="s">
        <v>241</v>
      </c>
      <c r="C434" s="94">
        <v>500</v>
      </c>
      <c r="D434" s="85">
        <v>500</v>
      </c>
      <c r="E434" s="93">
        <f t="shared" si="27"/>
        <v>0</v>
      </c>
      <c r="F434" s="12">
        <f t="shared" si="28"/>
        <v>100</v>
      </c>
      <c r="G434" s="86"/>
      <c r="H434" s="189">
        <f t="shared" si="26"/>
        <v>500</v>
      </c>
      <c r="I434" s="8"/>
      <c r="J434" s="183">
        <f>D434</f>
        <v>500</v>
      </c>
      <c r="K434" s="8"/>
      <c r="L434" s="8"/>
      <c r="M434" s="8"/>
      <c r="N434" s="185"/>
    </row>
    <row r="435" spans="1:14" ht="18">
      <c r="A435" s="83"/>
      <c r="B435" s="84" t="s">
        <v>242</v>
      </c>
      <c r="C435" s="94"/>
      <c r="D435" s="85"/>
      <c r="E435" s="93"/>
      <c r="F435" s="12"/>
      <c r="G435" s="86"/>
      <c r="H435" s="189">
        <f t="shared" si="26"/>
        <v>0</v>
      </c>
      <c r="I435" s="8"/>
      <c r="J435" s="8"/>
      <c r="K435" s="8"/>
      <c r="L435" s="8"/>
      <c r="M435" s="8"/>
      <c r="N435" s="185"/>
    </row>
    <row r="436" spans="1:14" ht="18">
      <c r="A436" s="83" t="s">
        <v>36</v>
      </c>
      <c r="B436" s="84" t="s">
        <v>37</v>
      </c>
      <c r="C436" s="94">
        <v>1000</v>
      </c>
      <c r="D436" s="85">
        <v>1000</v>
      </c>
      <c r="E436" s="93">
        <f t="shared" si="27"/>
        <v>0</v>
      </c>
      <c r="F436" s="12">
        <f t="shared" si="28"/>
        <v>100</v>
      </c>
      <c r="G436" s="86"/>
      <c r="H436" s="189">
        <f t="shared" si="26"/>
        <v>1000</v>
      </c>
      <c r="I436" s="8"/>
      <c r="J436" s="183">
        <f>D436</f>
        <v>1000</v>
      </c>
      <c r="K436" s="8"/>
      <c r="L436" s="8"/>
      <c r="M436" s="8"/>
      <c r="N436" s="185"/>
    </row>
    <row r="437" spans="1:14" ht="18">
      <c r="A437" s="83" t="s">
        <v>53</v>
      </c>
      <c r="B437" s="84" t="s">
        <v>54</v>
      </c>
      <c r="C437" s="94">
        <v>200</v>
      </c>
      <c r="D437" s="85">
        <v>200</v>
      </c>
      <c r="E437" s="93">
        <f t="shared" si="27"/>
        <v>0</v>
      </c>
      <c r="F437" s="12">
        <f t="shared" si="28"/>
        <v>100</v>
      </c>
      <c r="G437" s="86"/>
      <c r="H437" s="189">
        <f t="shared" si="26"/>
        <v>200</v>
      </c>
      <c r="I437" s="8"/>
      <c r="J437" s="183">
        <f>D437</f>
        <v>200</v>
      </c>
      <c r="K437" s="8"/>
      <c r="L437" s="8"/>
      <c r="M437" s="8"/>
      <c r="N437" s="185"/>
    </row>
    <row r="438" spans="1:14" ht="18">
      <c r="A438" s="83" t="s">
        <v>38</v>
      </c>
      <c r="B438" s="84" t="s">
        <v>72</v>
      </c>
      <c r="C438" s="94">
        <v>6000</v>
      </c>
      <c r="D438" s="85">
        <v>6000</v>
      </c>
      <c r="E438" s="93">
        <f t="shared" si="27"/>
        <v>0</v>
      </c>
      <c r="F438" s="12">
        <f t="shared" si="28"/>
        <v>100</v>
      </c>
      <c r="G438" s="86"/>
      <c r="H438" s="189">
        <f t="shared" si="26"/>
        <v>6000</v>
      </c>
      <c r="I438" s="8"/>
      <c r="J438" s="183">
        <f>D438</f>
        <v>6000</v>
      </c>
      <c r="K438" s="8"/>
      <c r="L438" s="8"/>
      <c r="M438" s="8"/>
      <c r="N438" s="185"/>
    </row>
    <row r="439" spans="1:14" ht="18">
      <c r="A439" s="83" t="s">
        <v>223</v>
      </c>
      <c r="B439" s="108" t="s">
        <v>228</v>
      </c>
      <c r="C439" s="94">
        <v>4700</v>
      </c>
      <c r="D439" s="85">
        <v>4700</v>
      </c>
      <c r="E439" s="93">
        <f t="shared" si="27"/>
        <v>0</v>
      </c>
      <c r="F439" s="12">
        <f t="shared" si="28"/>
        <v>100</v>
      </c>
      <c r="G439" s="86"/>
      <c r="H439" s="189">
        <f t="shared" si="26"/>
        <v>4700</v>
      </c>
      <c r="I439" s="8"/>
      <c r="J439" s="183">
        <f>D439</f>
        <v>4700</v>
      </c>
      <c r="K439" s="8"/>
      <c r="L439" s="8"/>
      <c r="M439" s="8"/>
      <c r="N439" s="185"/>
    </row>
    <row r="440" spans="1:14" ht="18">
      <c r="A440" s="83"/>
      <c r="B440" s="108" t="s">
        <v>225</v>
      </c>
      <c r="C440" s="94"/>
      <c r="D440" s="85"/>
      <c r="E440" s="93"/>
      <c r="F440" s="12"/>
      <c r="G440" s="86"/>
      <c r="H440" s="189">
        <f t="shared" si="26"/>
        <v>0</v>
      </c>
      <c r="I440" s="8"/>
      <c r="J440" s="8"/>
      <c r="K440" s="8"/>
      <c r="L440" s="8"/>
      <c r="M440" s="8"/>
      <c r="N440" s="185"/>
    </row>
    <row r="441" spans="1:14" ht="18">
      <c r="A441" s="83" t="s">
        <v>216</v>
      </c>
      <c r="B441" s="108" t="s">
        <v>218</v>
      </c>
      <c r="C441" s="94">
        <v>5000</v>
      </c>
      <c r="D441" s="85">
        <v>5000</v>
      </c>
      <c r="E441" s="93">
        <f t="shared" si="27"/>
        <v>0</v>
      </c>
      <c r="F441" s="12">
        <f t="shared" si="28"/>
        <v>100</v>
      </c>
      <c r="G441" s="86"/>
      <c r="H441" s="189">
        <f t="shared" si="26"/>
        <v>5000</v>
      </c>
      <c r="I441" s="8"/>
      <c r="J441" s="183">
        <f>D441</f>
        <v>5000</v>
      </c>
      <c r="K441" s="8"/>
      <c r="L441" s="8"/>
      <c r="M441" s="8"/>
      <c r="N441" s="185"/>
    </row>
    <row r="442" spans="1:14" ht="18">
      <c r="A442" s="83"/>
      <c r="B442" s="108" t="s">
        <v>217</v>
      </c>
      <c r="C442" s="94"/>
      <c r="D442" s="85"/>
      <c r="E442" s="93"/>
      <c r="F442" s="12"/>
      <c r="G442" s="86"/>
      <c r="H442" s="189">
        <f t="shared" si="26"/>
        <v>0</v>
      </c>
      <c r="I442" s="8"/>
      <c r="J442" s="8"/>
      <c r="K442" s="8"/>
      <c r="L442" s="8"/>
      <c r="M442" s="8"/>
      <c r="N442" s="185"/>
    </row>
    <row r="443" spans="1:14" ht="18">
      <c r="A443" s="83" t="s">
        <v>219</v>
      </c>
      <c r="B443" s="108" t="s">
        <v>220</v>
      </c>
      <c r="C443" s="94">
        <v>5000</v>
      </c>
      <c r="D443" s="85">
        <v>5000</v>
      </c>
      <c r="E443" s="93">
        <f t="shared" si="27"/>
        <v>0</v>
      </c>
      <c r="F443" s="12">
        <f t="shared" si="28"/>
        <v>100</v>
      </c>
      <c r="G443" s="86"/>
      <c r="H443" s="189">
        <f t="shared" si="26"/>
        <v>5000</v>
      </c>
      <c r="I443" s="8"/>
      <c r="J443" s="183">
        <f>D443</f>
        <v>5000</v>
      </c>
      <c r="K443" s="8"/>
      <c r="L443" s="8"/>
      <c r="M443" s="8"/>
      <c r="N443" s="185"/>
    </row>
    <row r="444" spans="1:14" ht="18">
      <c r="A444" s="83"/>
      <c r="B444" s="108" t="s">
        <v>221</v>
      </c>
      <c r="C444" s="94"/>
      <c r="D444" s="85"/>
      <c r="E444" s="93"/>
      <c r="F444" s="12"/>
      <c r="G444" s="86"/>
      <c r="H444" s="189">
        <f t="shared" si="26"/>
        <v>0</v>
      </c>
      <c r="I444" s="8"/>
      <c r="J444" s="8"/>
      <c r="K444" s="8"/>
      <c r="L444" s="8"/>
      <c r="M444" s="8"/>
      <c r="N444" s="185"/>
    </row>
    <row r="445" spans="1:14" ht="18">
      <c r="A445" s="83" t="s">
        <v>73</v>
      </c>
      <c r="B445" s="108" t="s">
        <v>222</v>
      </c>
      <c r="C445" s="94">
        <v>5000</v>
      </c>
      <c r="D445" s="85">
        <v>5000</v>
      </c>
      <c r="E445" s="93">
        <f t="shared" si="27"/>
        <v>0</v>
      </c>
      <c r="F445" s="12">
        <f t="shared" si="28"/>
        <v>100</v>
      </c>
      <c r="G445" s="86"/>
      <c r="H445" s="189">
        <f t="shared" si="26"/>
        <v>0</v>
      </c>
      <c r="I445" s="183"/>
      <c r="J445" s="183"/>
      <c r="K445" s="183"/>
      <c r="L445" s="183"/>
      <c r="M445" s="183"/>
      <c r="N445" s="186">
        <f>D445</f>
        <v>5000</v>
      </c>
    </row>
    <row r="446" spans="1:14" ht="18">
      <c r="A446" s="83"/>
      <c r="B446" s="84"/>
      <c r="C446" s="94"/>
      <c r="D446" s="85"/>
      <c r="E446" s="93"/>
      <c r="F446" s="12"/>
      <c r="G446" s="86"/>
      <c r="H446" s="189">
        <f t="shared" si="26"/>
        <v>0</v>
      </c>
      <c r="I446" s="8"/>
      <c r="J446" s="8"/>
      <c r="K446" s="8"/>
      <c r="L446" s="8"/>
      <c r="M446" s="8"/>
      <c r="N446" s="185"/>
    </row>
    <row r="447" spans="1:14" ht="18">
      <c r="A447" s="126" t="s">
        <v>128</v>
      </c>
      <c r="B447" s="127" t="s">
        <v>129</v>
      </c>
      <c r="C447" s="129">
        <f>SUM(C449)</f>
        <v>40000</v>
      </c>
      <c r="D447" s="128">
        <f>SUM(D449)</f>
        <v>30000</v>
      </c>
      <c r="E447" s="117">
        <f t="shared" si="27"/>
        <v>-10000</v>
      </c>
      <c r="F447" s="118">
        <f t="shared" si="28"/>
        <v>75</v>
      </c>
      <c r="G447" s="86"/>
      <c r="H447" s="189">
        <f t="shared" si="26"/>
        <v>0</v>
      </c>
      <c r="I447" s="8"/>
      <c r="J447" s="8"/>
      <c r="K447" s="8"/>
      <c r="L447" s="8"/>
      <c r="M447" s="8"/>
      <c r="N447" s="185"/>
    </row>
    <row r="448" spans="1:14" ht="18">
      <c r="A448" s="122"/>
      <c r="B448" s="127" t="s">
        <v>130</v>
      </c>
      <c r="C448" s="125"/>
      <c r="D448" s="124"/>
      <c r="E448" s="117"/>
      <c r="F448" s="118"/>
      <c r="G448" s="86"/>
      <c r="H448" s="189">
        <f t="shared" si="26"/>
        <v>0</v>
      </c>
      <c r="I448" s="8"/>
      <c r="J448" s="8"/>
      <c r="K448" s="8"/>
      <c r="L448" s="8"/>
      <c r="M448" s="8"/>
      <c r="N448" s="185"/>
    </row>
    <row r="449" spans="1:14" ht="18">
      <c r="A449" s="122" t="s">
        <v>16</v>
      </c>
      <c r="B449" s="123" t="s">
        <v>17</v>
      </c>
      <c r="C449" s="125">
        <v>40000</v>
      </c>
      <c r="D449" s="124">
        <v>30000</v>
      </c>
      <c r="E449" s="117">
        <f t="shared" si="27"/>
        <v>-10000</v>
      </c>
      <c r="F449" s="118">
        <f t="shared" si="28"/>
        <v>75</v>
      </c>
      <c r="G449" s="86"/>
      <c r="H449" s="189">
        <f t="shared" si="26"/>
        <v>30000</v>
      </c>
      <c r="I449" s="8"/>
      <c r="J449" s="183">
        <f>D449</f>
        <v>30000</v>
      </c>
      <c r="K449" s="8"/>
      <c r="L449" s="8"/>
      <c r="M449" s="8"/>
      <c r="N449" s="185"/>
    </row>
    <row r="450" spans="1:14" ht="18">
      <c r="A450" s="83"/>
      <c r="B450" s="84"/>
      <c r="C450" s="94"/>
      <c r="D450" s="85"/>
      <c r="E450" s="93"/>
      <c r="F450" s="12"/>
      <c r="G450" s="86"/>
      <c r="H450" s="189">
        <f t="shared" si="26"/>
        <v>0</v>
      </c>
      <c r="I450" s="8"/>
      <c r="J450" s="8"/>
      <c r="K450" s="8"/>
      <c r="L450" s="8"/>
      <c r="M450" s="8"/>
      <c r="N450" s="185"/>
    </row>
    <row r="451" spans="1:14" ht="18">
      <c r="A451" s="95" t="s">
        <v>131</v>
      </c>
      <c r="B451" s="96" t="s">
        <v>15</v>
      </c>
      <c r="C451" s="98">
        <f>SUM(C452:C454)</f>
        <v>386000</v>
      </c>
      <c r="D451" s="97">
        <f>SUM(D452:D454)</f>
        <v>264000</v>
      </c>
      <c r="E451" s="93">
        <f t="shared" si="27"/>
        <v>-122000</v>
      </c>
      <c r="F451" s="12">
        <f t="shared" si="28"/>
        <v>68.39378238341969</v>
      </c>
      <c r="G451" s="86"/>
      <c r="H451" s="189">
        <f t="shared" si="26"/>
        <v>0</v>
      </c>
      <c r="I451" s="8"/>
      <c r="J451" s="8"/>
      <c r="K451" s="8"/>
      <c r="L451" s="8"/>
      <c r="M451" s="8"/>
      <c r="N451" s="185"/>
    </row>
    <row r="452" spans="1:14" ht="18">
      <c r="A452" s="83" t="s">
        <v>116</v>
      </c>
      <c r="B452" s="84" t="s">
        <v>117</v>
      </c>
      <c r="C452" s="94">
        <v>376000</v>
      </c>
      <c r="D452" s="85">
        <v>254000</v>
      </c>
      <c r="E452" s="93">
        <f t="shared" si="27"/>
        <v>-122000</v>
      </c>
      <c r="F452" s="12">
        <f t="shared" si="28"/>
        <v>67.55319148936171</v>
      </c>
      <c r="G452" s="86"/>
      <c r="H452" s="189">
        <f t="shared" si="26"/>
        <v>254000</v>
      </c>
      <c r="I452" s="8"/>
      <c r="J452" s="8"/>
      <c r="K452" s="8"/>
      <c r="L452" s="183">
        <f>D452</f>
        <v>254000</v>
      </c>
      <c r="M452" s="8"/>
      <c r="N452" s="185"/>
    </row>
    <row r="453" spans="1:14" ht="18">
      <c r="A453" s="83" t="s">
        <v>34</v>
      </c>
      <c r="B453" s="84" t="s">
        <v>35</v>
      </c>
      <c r="C453" s="94">
        <v>5000</v>
      </c>
      <c r="D453" s="85">
        <v>5000</v>
      </c>
      <c r="E453" s="93">
        <f t="shared" si="27"/>
        <v>0</v>
      </c>
      <c r="F453" s="12">
        <f t="shared" si="28"/>
        <v>100</v>
      </c>
      <c r="G453" s="86"/>
      <c r="H453" s="189">
        <f t="shared" si="26"/>
        <v>5000</v>
      </c>
      <c r="I453" s="8"/>
      <c r="J453" s="183">
        <f>D453</f>
        <v>5000</v>
      </c>
      <c r="K453" s="8"/>
      <c r="L453" s="8"/>
      <c r="M453" s="8"/>
      <c r="N453" s="185"/>
    </row>
    <row r="454" spans="1:14" ht="18">
      <c r="A454" s="99" t="s">
        <v>16</v>
      </c>
      <c r="B454" s="100" t="s">
        <v>17</v>
      </c>
      <c r="C454" s="102">
        <v>5000</v>
      </c>
      <c r="D454" s="101">
        <v>5000</v>
      </c>
      <c r="E454" s="93">
        <f t="shared" si="27"/>
        <v>0</v>
      </c>
      <c r="F454" s="12">
        <f t="shared" si="28"/>
        <v>100</v>
      </c>
      <c r="G454" s="86"/>
      <c r="H454" s="189">
        <f t="shared" si="26"/>
        <v>5000</v>
      </c>
      <c r="I454" s="8"/>
      <c r="J454" s="183">
        <f>D454</f>
        <v>5000</v>
      </c>
      <c r="K454" s="8"/>
      <c r="L454" s="8"/>
      <c r="M454" s="8"/>
      <c r="N454" s="185"/>
    </row>
    <row r="455" spans="1:14" ht="18">
      <c r="A455" s="20"/>
      <c r="B455" s="7"/>
      <c r="C455" s="31"/>
      <c r="D455" s="21"/>
      <c r="E455" s="93"/>
      <c r="F455" s="12"/>
      <c r="G455" s="86"/>
      <c r="H455" s="189">
        <f aca="true" t="shared" si="30" ref="H455:H518">SUM(I455:M455)</f>
        <v>0</v>
      </c>
      <c r="I455" s="8"/>
      <c r="J455" s="8"/>
      <c r="K455" s="8"/>
      <c r="L455" s="8"/>
      <c r="M455" s="8"/>
      <c r="N455" s="185"/>
    </row>
    <row r="456" spans="1:14" ht="18">
      <c r="A456" s="89" t="s">
        <v>132</v>
      </c>
      <c r="B456" s="90" t="s">
        <v>133</v>
      </c>
      <c r="C456" s="92">
        <f>SUM(C458+C462)</f>
        <v>12500</v>
      </c>
      <c r="D456" s="91">
        <f>SUM(D458+D462)</f>
        <v>10000</v>
      </c>
      <c r="E456" s="93">
        <f t="shared" si="27"/>
        <v>-2500</v>
      </c>
      <c r="F456" s="12">
        <f t="shared" si="28"/>
        <v>80</v>
      </c>
      <c r="G456" s="86"/>
      <c r="H456" s="189">
        <f t="shared" si="30"/>
        <v>0</v>
      </c>
      <c r="I456" s="8"/>
      <c r="J456" s="8"/>
      <c r="K456" s="8"/>
      <c r="L456" s="8"/>
      <c r="M456" s="8"/>
      <c r="N456" s="185"/>
    </row>
    <row r="457" spans="1:14" ht="18">
      <c r="A457" s="95"/>
      <c r="B457" s="96"/>
      <c r="C457" s="98"/>
      <c r="D457" s="97"/>
      <c r="E457" s="93"/>
      <c r="F457" s="12"/>
      <c r="G457" s="86"/>
      <c r="H457" s="189">
        <f t="shared" si="30"/>
        <v>0</v>
      </c>
      <c r="I457" s="8"/>
      <c r="J457" s="8"/>
      <c r="K457" s="8"/>
      <c r="L457" s="8"/>
      <c r="M457" s="8"/>
      <c r="N457" s="185"/>
    </row>
    <row r="458" spans="1:14" ht="18">
      <c r="A458" s="126" t="s">
        <v>134</v>
      </c>
      <c r="B458" s="127" t="s">
        <v>135</v>
      </c>
      <c r="C458" s="129">
        <f>SUM(C459:C460)</f>
        <v>10000</v>
      </c>
      <c r="D458" s="128">
        <f>SUM(D459:D460)</f>
        <v>10000</v>
      </c>
      <c r="E458" s="117">
        <f t="shared" si="27"/>
        <v>0</v>
      </c>
      <c r="F458" s="118">
        <f t="shared" si="28"/>
        <v>100</v>
      </c>
      <c r="G458" s="86"/>
      <c r="H458" s="189">
        <f t="shared" si="30"/>
        <v>0</v>
      </c>
      <c r="I458" s="8"/>
      <c r="J458" s="8"/>
      <c r="K458" s="8"/>
      <c r="L458" s="8"/>
      <c r="M458" s="8"/>
      <c r="N458" s="185"/>
    </row>
    <row r="459" spans="1:14" ht="18">
      <c r="A459" s="122" t="s">
        <v>136</v>
      </c>
      <c r="B459" s="123" t="s">
        <v>137</v>
      </c>
      <c r="C459" s="125">
        <v>5000</v>
      </c>
      <c r="D459" s="124">
        <v>5000</v>
      </c>
      <c r="E459" s="117">
        <f t="shared" si="27"/>
        <v>0</v>
      </c>
      <c r="F459" s="118">
        <f t="shared" si="28"/>
        <v>100</v>
      </c>
      <c r="G459" s="86"/>
      <c r="H459" s="189">
        <f t="shared" si="30"/>
        <v>5000</v>
      </c>
      <c r="I459" s="8"/>
      <c r="J459" s="8"/>
      <c r="K459" s="8"/>
      <c r="L459" s="183">
        <f>D459</f>
        <v>5000</v>
      </c>
      <c r="M459" s="8"/>
      <c r="N459" s="185"/>
    </row>
    <row r="460" spans="1:14" ht="18">
      <c r="A460" s="122" t="s">
        <v>171</v>
      </c>
      <c r="B460" s="123" t="s">
        <v>172</v>
      </c>
      <c r="C460" s="125">
        <v>5000</v>
      </c>
      <c r="D460" s="124">
        <v>5000</v>
      </c>
      <c r="E460" s="117">
        <f t="shared" si="27"/>
        <v>0</v>
      </c>
      <c r="F460" s="118">
        <f t="shared" si="28"/>
        <v>100</v>
      </c>
      <c r="G460" s="86"/>
      <c r="H460" s="189">
        <f t="shared" si="30"/>
        <v>5000</v>
      </c>
      <c r="I460" s="8"/>
      <c r="J460" s="8"/>
      <c r="K460" s="8"/>
      <c r="L460" s="183">
        <f>D460</f>
        <v>5000</v>
      </c>
      <c r="M460" s="8"/>
      <c r="N460" s="185"/>
    </row>
    <row r="461" spans="1:14" ht="18">
      <c r="A461" s="122"/>
      <c r="B461" s="123"/>
      <c r="C461" s="125"/>
      <c r="D461" s="124"/>
      <c r="E461" s="117"/>
      <c r="F461" s="118"/>
      <c r="G461" s="86"/>
      <c r="H461" s="189">
        <f t="shared" si="30"/>
        <v>0</v>
      </c>
      <c r="I461" s="8"/>
      <c r="J461" s="8"/>
      <c r="K461" s="8"/>
      <c r="L461" s="8"/>
      <c r="M461" s="8"/>
      <c r="N461" s="185"/>
    </row>
    <row r="462" spans="1:14" ht="18">
      <c r="A462" s="126" t="s">
        <v>138</v>
      </c>
      <c r="B462" s="127" t="s">
        <v>15</v>
      </c>
      <c r="C462" s="129">
        <f>SUM(C463)</f>
        <v>2500</v>
      </c>
      <c r="D462" s="128">
        <f>SUM(D463)</f>
        <v>0</v>
      </c>
      <c r="E462" s="117">
        <f t="shared" si="27"/>
        <v>-2500</v>
      </c>
      <c r="F462" s="118">
        <f t="shared" si="28"/>
        <v>0</v>
      </c>
      <c r="G462" s="86"/>
      <c r="H462" s="189">
        <f t="shared" si="30"/>
        <v>0</v>
      </c>
      <c r="I462" s="8"/>
      <c r="J462" s="8"/>
      <c r="K462" s="8"/>
      <c r="L462" s="8"/>
      <c r="M462" s="8"/>
      <c r="N462" s="185"/>
    </row>
    <row r="463" spans="1:14" ht="18">
      <c r="A463" s="122" t="s">
        <v>104</v>
      </c>
      <c r="B463" s="123" t="s">
        <v>105</v>
      </c>
      <c r="C463" s="125">
        <v>2500</v>
      </c>
      <c r="D463" s="124">
        <v>0</v>
      </c>
      <c r="E463" s="117">
        <f t="shared" si="27"/>
        <v>-2500</v>
      </c>
      <c r="F463" s="118">
        <f t="shared" si="28"/>
        <v>0</v>
      </c>
      <c r="G463" s="86" t="s">
        <v>311</v>
      </c>
      <c r="H463" s="189">
        <f t="shared" si="30"/>
        <v>0</v>
      </c>
      <c r="I463" s="8"/>
      <c r="J463" s="8"/>
      <c r="K463" s="183">
        <f>D463</f>
        <v>0</v>
      </c>
      <c r="L463" s="8"/>
      <c r="M463" s="8"/>
      <c r="N463" s="185"/>
    </row>
    <row r="464" spans="1:14" ht="18">
      <c r="A464" s="122"/>
      <c r="B464" s="123" t="s">
        <v>106</v>
      </c>
      <c r="C464" s="125"/>
      <c r="D464" s="124"/>
      <c r="E464" s="117"/>
      <c r="F464" s="118"/>
      <c r="G464" s="86"/>
      <c r="H464" s="189">
        <f t="shared" si="30"/>
        <v>0</v>
      </c>
      <c r="I464" s="8"/>
      <c r="J464" s="8"/>
      <c r="K464" s="8"/>
      <c r="L464" s="8"/>
      <c r="M464" s="8"/>
      <c r="N464" s="185"/>
    </row>
    <row r="465" spans="1:14" ht="18">
      <c r="A465" s="122"/>
      <c r="B465" s="123" t="s">
        <v>107</v>
      </c>
      <c r="C465" s="125"/>
      <c r="D465" s="124"/>
      <c r="E465" s="117"/>
      <c r="F465" s="118"/>
      <c r="G465" s="86"/>
      <c r="H465" s="189">
        <f t="shared" si="30"/>
        <v>0</v>
      </c>
      <c r="I465" s="8"/>
      <c r="J465" s="8"/>
      <c r="K465" s="8"/>
      <c r="L465" s="8"/>
      <c r="M465" s="8"/>
      <c r="N465" s="185"/>
    </row>
    <row r="466" spans="1:14" ht="18">
      <c r="A466" s="89" t="s">
        <v>139</v>
      </c>
      <c r="B466" s="90" t="s">
        <v>140</v>
      </c>
      <c r="C466" s="92">
        <f>SUM(C482+C488+C497+C469+C474+C492+C478)</f>
        <v>416054</v>
      </c>
      <c r="D466" s="91">
        <f>SUM(D482+D488+D497+D469+D474+D492+D478)</f>
        <v>590348</v>
      </c>
      <c r="E466" s="93">
        <f t="shared" si="27"/>
        <v>174294</v>
      </c>
      <c r="F466" s="12">
        <f t="shared" si="28"/>
        <v>141.8921582294606</v>
      </c>
      <c r="G466" s="86"/>
      <c r="H466" s="189">
        <f t="shared" si="30"/>
        <v>0</v>
      </c>
      <c r="I466" s="8"/>
      <c r="J466" s="8"/>
      <c r="K466" s="8"/>
      <c r="L466" s="8"/>
      <c r="M466" s="8"/>
      <c r="N466" s="185"/>
    </row>
    <row r="467" spans="1:14" ht="18">
      <c r="A467" s="83"/>
      <c r="B467" s="84"/>
      <c r="C467" s="94"/>
      <c r="D467" s="85"/>
      <c r="E467" s="93"/>
      <c r="F467" s="12"/>
      <c r="G467" s="86"/>
      <c r="H467" s="189">
        <f t="shared" si="30"/>
        <v>0</v>
      </c>
      <c r="I467" s="8"/>
      <c r="J467" s="8"/>
      <c r="K467" s="8"/>
      <c r="L467" s="8"/>
      <c r="M467" s="8"/>
      <c r="N467" s="185"/>
    </row>
    <row r="468" spans="1:14" ht="18">
      <c r="A468" s="83"/>
      <c r="B468" s="84"/>
      <c r="C468" s="94"/>
      <c r="D468" s="85"/>
      <c r="E468" s="93"/>
      <c r="F468" s="12"/>
      <c r="G468" s="86"/>
      <c r="H468" s="189">
        <f t="shared" si="30"/>
        <v>0</v>
      </c>
      <c r="I468" s="8"/>
      <c r="J468" s="8"/>
      <c r="K468" s="8"/>
      <c r="L468" s="8"/>
      <c r="M468" s="8"/>
      <c r="N468" s="185"/>
    </row>
    <row r="469" spans="1:14" ht="18">
      <c r="A469" s="126" t="s">
        <v>186</v>
      </c>
      <c r="B469" s="127" t="s">
        <v>187</v>
      </c>
      <c r="C469" s="129">
        <f>SUM(C470:C472)</f>
        <v>15000</v>
      </c>
      <c r="D469" s="128">
        <f>SUM(D470:D472)</f>
        <v>15000</v>
      </c>
      <c r="E469" s="117">
        <f t="shared" si="27"/>
        <v>0</v>
      </c>
      <c r="F469" s="118">
        <f t="shared" si="28"/>
        <v>100</v>
      </c>
      <c r="G469" s="86"/>
      <c r="H469" s="189">
        <f t="shared" si="30"/>
        <v>0</v>
      </c>
      <c r="I469" s="8"/>
      <c r="J469" s="8"/>
      <c r="K469" s="8"/>
      <c r="L469" s="8"/>
      <c r="M469" s="8"/>
      <c r="N469" s="185"/>
    </row>
    <row r="470" spans="1:14" ht="18">
      <c r="A470" s="122"/>
      <c r="B470" s="123"/>
      <c r="C470" s="125"/>
      <c r="D470" s="124"/>
      <c r="E470" s="117"/>
      <c r="F470" s="118"/>
      <c r="G470" s="86"/>
      <c r="H470" s="189">
        <f t="shared" si="30"/>
        <v>0</v>
      </c>
      <c r="I470" s="8"/>
      <c r="J470" s="8"/>
      <c r="K470" s="8"/>
      <c r="L470" s="8"/>
      <c r="M470" s="8"/>
      <c r="N470" s="185"/>
    </row>
    <row r="471" spans="1:14" ht="18">
      <c r="A471" s="122" t="s">
        <v>34</v>
      </c>
      <c r="B471" s="123" t="s">
        <v>35</v>
      </c>
      <c r="C471" s="125">
        <v>2000</v>
      </c>
      <c r="D471" s="124">
        <v>2000</v>
      </c>
      <c r="E471" s="117">
        <f>D471-C471</f>
        <v>0</v>
      </c>
      <c r="F471" s="118">
        <f t="shared" si="28"/>
        <v>100</v>
      </c>
      <c r="G471" s="86"/>
      <c r="H471" s="189">
        <f t="shared" si="30"/>
        <v>2000</v>
      </c>
      <c r="I471" s="8"/>
      <c r="J471" s="183">
        <f>D471</f>
        <v>2000</v>
      </c>
      <c r="K471" s="8"/>
      <c r="L471" s="8"/>
      <c r="M471" s="8"/>
      <c r="N471" s="185"/>
    </row>
    <row r="472" spans="1:14" ht="18">
      <c r="A472" s="122" t="s">
        <v>16</v>
      </c>
      <c r="B472" s="123" t="s">
        <v>17</v>
      </c>
      <c r="C472" s="125">
        <v>13000</v>
      </c>
      <c r="D472" s="124">
        <v>13000</v>
      </c>
      <c r="E472" s="117">
        <f>D472-C472</f>
        <v>0</v>
      </c>
      <c r="F472" s="118">
        <f t="shared" si="28"/>
        <v>100</v>
      </c>
      <c r="G472" s="86"/>
      <c r="H472" s="189">
        <f t="shared" si="30"/>
        <v>13000</v>
      </c>
      <c r="I472" s="8"/>
      <c r="J472" s="183">
        <f>D472</f>
        <v>13000</v>
      </c>
      <c r="K472" s="8"/>
      <c r="L472" s="8"/>
      <c r="M472" s="8"/>
      <c r="N472" s="185"/>
    </row>
    <row r="473" spans="1:14" ht="18">
      <c r="A473" s="122"/>
      <c r="B473" s="123"/>
      <c r="C473" s="125"/>
      <c r="D473" s="124"/>
      <c r="E473" s="117"/>
      <c r="F473" s="118"/>
      <c r="G473" s="86"/>
      <c r="H473" s="189">
        <f t="shared" si="30"/>
        <v>0</v>
      </c>
      <c r="I473" s="8"/>
      <c r="J473" s="8"/>
      <c r="K473" s="8"/>
      <c r="L473" s="8"/>
      <c r="M473" s="8"/>
      <c r="N473" s="185"/>
    </row>
    <row r="474" spans="1:14" ht="18">
      <c r="A474" s="126" t="s">
        <v>188</v>
      </c>
      <c r="B474" s="127" t="s">
        <v>189</v>
      </c>
      <c r="C474" s="129">
        <f>SUM(C475:C476)</f>
        <v>3000</v>
      </c>
      <c r="D474" s="128">
        <f>SUM(D475:D476)</f>
        <v>3000</v>
      </c>
      <c r="E474" s="117">
        <f aca="true" t="shared" si="31" ref="E474:E535">D474-C474</f>
        <v>0</v>
      </c>
      <c r="F474" s="118">
        <f aca="true" t="shared" si="32" ref="F474:F535">D474*100/C474</f>
        <v>100</v>
      </c>
      <c r="G474" s="86"/>
      <c r="H474" s="189">
        <f t="shared" si="30"/>
        <v>0</v>
      </c>
      <c r="I474" s="8"/>
      <c r="J474" s="8"/>
      <c r="K474" s="8"/>
      <c r="L474" s="8"/>
      <c r="M474" s="8"/>
      <c r="N474" s="185"/>
    </row>
    <row r="475" spans="1:14" ht="18">
      <c r="A475" s="122" t="s">
        <v>34</v>
      </c>
      <c r="B475" s="123" t="s">
        <v>35</v>
      </c>
      <c r="C475" s="125">
        <v>1500</v>
      </c>
      <c r="D475" s="124">
        <v>2000</v>
      </c>
      <c r="E475" s="117">
        <f t="shared" si="31"/>
        <v>500</v>
      </c>
      <c r="F475" s="118">
        <f t="shared" si="32"/>
        <v>133.33333333333334</v>
      </c>
      <c r="G475" s="86"/>
      <c r="H475" s="189">
        <f t="shared" si="30"/>
        <v>2000</v>
      </c>
      <c r="I475" s="8"/>
      <c r="J475" s="183">
        <f>D475</f>
        <v>2000</v>
      </c>
      <c r="K475" s="8"/>
      <c r="L475" s="8"/>
      <c r="M475" s="8"/>
      <c r="N475" s="185"/>
    </row>
    <row r="476" spans="1:14" ht="18">
      <c r="A476" s="122" t="s">
        <v>16</v>
      </c>
      <c r="B476" s="123" t="s">
        <v>17</v>
      </c>
      <c r="C476" s="125">
        <v>1500</v>
      </c>
      <c r="D476" s="124">
        <v>1000</v>
      </c>
      <c r="E476" s="117">
        <f t="shared" si="31"/>
        <v>-500</v>
      </c>
      <c r="F476" s="118">
        <f t="shared" si="32"/>
        <v>66.66666666666667</v>
      </c>
      <c r="G476" s="86"/>
      <c r="H476" s="189">
        <f t="shared" si="30"/>
        <v>1000</v>
      </c>
      <c r="I476" s="8"/>
      <c r="J476" s="183">
        <f>D476</f>
        <v>1000</v>
      </c>
      <c r="K476" s="8"/>
      <c r="L476" s="8"/>
      <c r="M476" s="8"/>
      <c r="N476" s="185"/>
    </row>
    <row r="477" spans="1:14" ht="18">
      <c r="A477" s="122"/>
      <c r="B477" s="123"/>
      <c r="C477" s="125"/>
      <c r="D477" s="124"/>
      <c r="E477" s="117"/>
      <c r="F477" s="118"/>
      <c r="G477" s="86"/>
      <c r="H477" s="189">
        <f t="shared" si="30"/>
        <v>0</v>
      </c>
      <c r="I477" s="8"/>
      <c r="J477" s="8"/>
      <c r="K477" s="8"/>
      <c r="L477" s="8"/>
      <c r="M477" s="8"/>
      <c r="N477" s="185"/>
    </row>
    <row r="478" spans="1:14" ht="18">
      <c r="A478" s="126" t="s">
        <v>229</v>
      </c>
      <c r="B478" s="127" t="s">
        <v>230</v>
      </c>
      <c r="C478" s="129">
        <f>SUM(C479)</f>
        <v>1000</v>
      </c>
      <c r="D478" s="128">
        <f>SUM(D479)</f>
        <v>1000</v>
      </c>
      <c r="E478" s="117">
        <f t="shared" si="31"/>
        <v>0</v>
      </c>
      <c r="F478" s="118">
        <f t="shared" si="32"/>
        <v>100</v>
      </c>
      <c r="G478" s="86"/>
      <c r="H478" s="189">
        <f t="shared" si="30"/>
        <v>0</v>
      </c>
      <c r="I478" s="8"/>
      <c r="J478" s="8"/>
      <c r="K478" s="8"/>
      <c r="L478" s="8"/>
      <c r="M478" s="8"/>
      <c r="N478" s="185"/>
    </row>
    <row r="479" spans="1:14" ht="18">
      <c r="A479" s="122" t="s">
        <v>16</v>
      </c>
      <c r="B479" s="123" t="s">
        <v>17</v>
      </c>
      <c r="C479" s="125">
        <v>1000</v>
      </c>
      <c r="D479" s="124">
        <v>1000</v>
      </c>
      <c r="E479" s="117">
        <f t="shared" si="31"/>
        <v>0</v>
      </c>
      <c r="F479" s="118">
        <f t="shared" si="32"/>
        <v>100</v>
      </c>
      <c r="G479" s="86"/>
      <c r="H479" s="189">
        <f t="shared" si="30"/>
        <v>1000</v>
      </c>
      <c r="I479" s="8"/>
      <c r="J479" s="183">
        <f>D479</f>
        <v>1000</v>
      </c>
      <c r="K479" s="8"/>
      <c r="L479" s="8"/>
      <c r="M479" s="8"/>
      <c r="N479" s="185"/>
    </row>
    <row r="480" spans="1:14" ht="18">
      <c r="A480" s="83"/>
      <c r="B480" s="84"/>
      <c r="C480" s="94"/>
      <c r="D480" s="85"/>
      <c r="E480" s="93"/>
      <c r="F480" s="12"/>
      <c r="G480" s="86"/>
      <c r="H480" s="189">
        <f t="shared" si="30"/>
        <v>0</v>
      </c>
      <c r="I480" s="8"/>
      <c r="J480" s="8"/>
      <c r="K480" s="8"/>
      <c r="L480" s="8"/>
      <c r="M480" s="8"/>
      <c r="N480" s="185"/>
    </row>
    <row r="481" spans="1:14" ht="18">
      <c r="A481" s="83"/>
      <c r="B481" s="84"/>
      <c r="C481" s="94"/>
      <c r="D481" s="85"/>
      <c r="E481" s="93"/>
      <c r="F481" s="12"/>
      <c r="G481" s="86"/>
      <c r="H481" s="189">
        <f t="shared" si="30"/>
        <v>0</v>
      </c>
      <c r="I481" s="8"/>
      <c r="J481" s="8"/>
      <c r="K481" s="8"/>
      <c r="L481" s="8"/>
      <c r="M481" s="8"/>
      <c r="N481" s="185"/>
    </row>
    <row r="482" spans="1:14" ht="18">
      <c r="A482" s="95" t="s">
        <v>141</v>
      </c>
      <c r="B482" s="96" t="s">
        <v>142</v>
      </c>
      <c r="C482" s="98">
        <f>SUM(C483:C486)</f>
        <v>197000</v>
      </c>
      <c r="D482" s="97">
        <f>SUM(D483:D486)</f>
        <v>326900</v>
      </c>
      <c r="E482" s="93">
        <f t="shared" si="31"/>
        <v>129900</v>
      </c>
      <c r="F482" s="12">
        <f t="shared" si="32"/>
        <v>165.93908629441626</v>
      </c>
      <c r="G482" s="86"/>
      <c r="H482" s="189">
        <f t="shared" si="30"/>
        <v>0</v>
      </c>
      <c r="I482" s="8"/>
      <c r="J482" s="8"/>
      <c r="K482" s="8"/>
      <c r="L482" s="8"/>
      <c r="M482" s="8"/>
      <c r="N482" s="185"/>
    </row>
    <row r="483" spans="1:14" ht="18">
      <c r="A483" s="83" t="s">
        <v>34</v>
      </c>
      <c r="B483" s="84" t="s">
        <v>35</v>
      </c>
      <c r="C483" s="94">
        <v>500</v>
      </c>
      <c r="D483" s="85">
        <v>500</v>
      </c>
      <c r="E483" s="93">
        <f t="shared" si="31"/>
        <v>0</v>
      </c>
      <c r="F483" s="12">
        <f t="shared" si="32"/>
        <v>100</v>
      </c>
      <c r="G483" s="86"/>
      <c r="H483" s="189">
        <f t="shared" si="30"/>
        <v>500</v>
      </c>
      <c r="I483" s="8"/>
      <c r="J483" s="183">
        <f>D483</f>
        <v>500</v>
      </c>
      <c r="K483" s="8"/>
      <c r="L483" s="8"/>
      <c r="M483" s="8"/>
      <c r="N483" s="185"/>
    </row>
    <row r="484" spans="1:14" ht="18">
      <c r="A484" s="83" t="s">
        <v>68</v>
      </c>
      <c r="B484" s="84" t="s">
        <v>69</v>
      </c>
      <c r="C484" s="94">
        <v>138000</v>
      </c>
      <c r="D484" s="85">
        <v>150000</v>
      </c>
      <c r="E484" s="93">
        <f t="shared" si="31"/>
        <v>12000</v>
      </c>
      <c r="F484" s="12">
        <f t="shared" si="32"/>
        <v>108.69565217391305</v>
      </c>
      <c r="G484" s="86"/>
      <c r="H484" s="189">
        <f t="shared" si="30"/>
        <v>150000</v>
      </c>
      <c r="I484" s="8"/>
      <c r="J484" s="183">
        <f>D484</f>
        <v>150000</v>
      </c>
      <c r="K484" s="8"/>
      <c r="L484" s="8"/>
      <c r="M484" s="8"/>
      <c r="N484" s="185"/>
    </row>
    <row r="485" spans="1:14" ht="18">
      <c r="A485" s="83" t="s">
        <v>16</v>
      </c>
      <c r="B485" s="84" t="s">
        <v>17</v>
      </c>
      <c r="C485" s="94">
        <v>28500</v>
      </c>
      <c r="D485" s="85">
        <v>36400</v>
      </c>
      <c r="E485" s="93">
        <f t="shared" si="31"/>
        <v>7900</v>
      </c>
      <c r="F485" s="12">
        <f t="shared" si="32"/>
        <v>127.71929824561404</v>
      </c>
      <c r="G485" s="86"/>
      <c r="H485" s="189">
        <f t="shared" si="30"/>
        <v>36400</v>
      </c>
      <c r="I485" s="8"/>
      <c r="J485" s="183">
        <f>D485</f>
        <v>36400</v>
      </c>
      <c r="K485" s="8"/>
      <c r="L485" s="8"/>
      <c r="M485" s="8"/>
      <c r="N485" s="185"/>
    </row>
    <row r="486" spans="1:14" ht="18">
      <c r="A486" s="83" t="s">
        <v>89</v>
      </c>
      <c r="B486" s="84" t="s">
        <v>98</v>
      </c>
      <c r="C486" s="94">
        <v>30000</v>
      </c>
      <c r="D486" s="85">
        <v>140000</v>
      </c>
      <c r="E486" s="93">
        <f t="shared" si="31"/>
        <v>110000</v>
      </c>
      <c r="F486" s="12">
        <f t="shared" si="32"/>
        <v>466.6666666666667</v>
      </c>
      <c r="G486" s="86" t="s">
        <v>312</v>
      </c>
      <c r="H486" s="189">
        <f t="shared" si="30"/>
        <v>0</v>
      </c>
      <c r="I486" s="183"/>
      <c r="J486" s="183"/>
      <c r="K486" s="183"/>
      <c r="L486" s="183"/>
      <c r="M486" s="183"/>
      <c r="N486" s="186">
        <f>D486</f>
        <v>140000</v>
      </c>
    </row>
    <row r="487" spans="1:14" ht="18">
      <c r="A487" s="95"/>
      <c r="B487" s="96"/>
      <c r="C487" s="98"/>
      <c r="D487" s="97"/>
      <c r="E487" s="93"/>
      <c r="F487" s="12"/>
      <c r="G487" s="86"/>
      <c r="H487" s="189">
        <f t="shared" si="30"/>
        <v>0</v>
      </c>
      <c r="I487" s="8"/>
      <c r="J487" s="8"/>
      <c r="K487" s="8"/>
      <c r="L487" s="8"/>
      <c r="M487" s="8"/>
      <c r="N487" s="185"/>
    </row>
    <row r="488" spans="1:14" ht="18">
      <c r="A488" s="126" t="s">
        <v>143</v>
      </c>
      <c r="B488" s="127" t="s">
        <v>144</v>
      </c>
      <c r="C488" s="129">
        <f>SUM(C489)</f>
        <v>87954</v>
      </c>
      <c r="D488" s="128">
        <f>SUM(D489)</f>
        <v>132348</v>
      </c>
      <c r="E488" s="117">
        <f t="shared" si="31"/>
        <v>44394</v>
      </c>
      <c r="F488" s="118">
        <f t="shared" si="32"/>
        <v>150.47411146735794</v>
      </c>
      <c r="G488" s="86" t="s">
        <v>369</v>
      </c>
      <c r="H488" s="189">
        <f t="shared" si="30"/>
        <v>0</v>
      </c>
      <c r="I488" s="8"/>
      <c r="J488" s="8"/>
      <c r="K488" s="8"/>
      <c r="L488" s="8"/>
      <c r="M488" s="8"/>
      <c r="N488" s="185"/>
    </row>
    <row r="489" spans="1:14" ht="18">
      <c r="A489" s="122" t="s">
        <v>145</v>
      </c>
      <c r="B489" s="123" t="s">
        <v>146</v>
      </c>
      <c r="C489" s="125">
        <v>87954</v>
      </c>
      <c r="D489" s="124">
        <v>132348</v>
      </c>
      <c r="E489" s="117">
        <f t="shared" si="31"/>
        <v>44394</v>
      </c>
      <c r="F489" s="118">
        <f t="shared" si="32"/>
        <v>150.47411146735794</v>
      </c>
      <c r="G489" s="86" t="s">
        <v>368</v>
      </c>
      <c r="H489" s="189">
        <f t="shared" si="30"/>
        <v>132348</v>
      </c>
      <c r="I489" s="8"/>
      <c r="J489" s="8"/>
      <c r="K489" s="183">
        <f>D489</f>
        <v>132348</v>
      </c>
      <c r="L489" s="8"/>
      <c r="M489" s="8"/>
      <c r="N489" s="185"/>
    </row>
    <row r="490" spans="1:14" ht="18">
      <c r="A490" s="122"/>
      <c r="B490" s="123" t="s">
        <v>147</v>
      </c>
      <c r="C490" s="125"/>
      <c r="D490" s="124"/>
      <c r="E490" s="117"/>
      <c r="F490" s="118"/>
      <c r="G490" s="86"/>
      <c r="H490" s="189">
        <f t="shared" si="30"/>
        <v>0</v>
      </c>
      <c r="I490" s="8"/>
      <c r="J490" s="8"/>
      <c r="K490" s="8"/>
      <c r="L490" s="8"/>
      <c r="M490" s="8"/>
      <c r="N490" s="185"/>
    </row>
    <row r="491" spans="1:14" ht="18">
      <c r="A491" s="122"/>
      <c r="B491" s="123"/>
      <c r="C491" s="125"/>
      <c r="D491" s="124"/>
      <c r="E491" s="117"/>
      <c r="F491" s="118"/>
      <c r="G491" s="86"/>
      <c r="H491" s="189">
        <f t="shared" si="30"/>
        <v>0</v>
      </c>
      <c r="I491" s="8"/>
      <c r="J491" s="8"/>
      <c r="K491" s="8"/>
      <c r="L491" s="8"/>
      <c r="M491" s="8"/>
      <c r="N491" s="185"/>
    </row>
    <row r="492" spans="1:14" ht="18">
      <c r="A492" s="126" t="s">
        <v>190</v>
      </c>
      <c r="B492" s="127" t="s">
        <v>191</v>
      </c>
      <c r="C492" s="129">
        <f>SUM(C494:C495)</f>
        <v>1500</v>
      </c>
      <c r="D492" s="128">
        <f>SUM(D494:D495)</f>
        <v>1500</v>
      </c>
      <c r="E492" s="117">
        <f t="shared" si="31"/>
        <v>0</v>
      </c>
      <c r="F492" s="118">
        <f t="shared" si="32"/>
        <v>100</v>
      </c>
      <c r="G492" s="86"/>
      <c r="H492" s="189">
        <f t="shared" si="30"/>
        <v>0</v>
      </c>
      <c r="I492" s="8"/>
      <c r="J492" s="8"/>
      <c r="K492" s="8"/>
      <c r="L492" s="8"/>
      <c r="M492" s="8"/>
      <c r="N492" s="185"/>
    </row>
    <row r="493" spans="1:14" ht="18">
      <c r="A493" s="122"/>
      <c r="B493" s="127" t="s">
        <v>192</v>
      </c>
      <c r="C493" s="125"/>
      <c r="D493" s="124"/>
      <c r="E493" s="117"/>
      <c r="F493" s="118"/>
      <c r="G493" s="86"/>
      <c r="H493" s="189">
        <f t="shared" si="30"/>
        <v>0</v>
      </c>
      <c r="I493" s="8"/>
      <c r="J493" s="8"/>
      <c r="K493" s="8"/>
      <c r="L493" s="8"/>
      <c r="M493" s="8"/>
      <c r="N493" s="185"/>
    </row>
    <row r="494" spans="1:14" ht="18">
      <c r="A494" s="122" t="s">
        <v>34</v>
      </c>
      <c r="B494" s="123" t="s">
        <v>35</v>
      </c>
      <c r="C494" s="125">
        <v>1300</v>
      </c>
      <c r="D494" s="124">
        <v>1300</v>
      </c>
      <c r="E494" s="117">
        <f t="shared" si="31"/>
        <v>0</v>
      </c>
      <c r="F494" s="118">
        <f t="shared" si="32"/>
        <v>100</v>
      </c>
      <c r="G494" s="86"/>
      <c r="H494" s="189">
        <f t="shared" si="30"/>
        <v>1300</v>
      </c>
      <c r="I494" s="8"/>
      <c r="J494" s="183">
        <f>D494</f>
        <v>1300</v>
      </c>
      <c r="K494" s="8"/>
      <c r="L494" s="8"/>
      <c r="M494" s="8"/>
      <c r="N494" s="185"/>
    </row>
    <row r="495" spans="1:14" ht="18">
      <c r="A495" s="122" t="s">
        <v>16</v>
      </c>
      <c r="B495" s="123" t="s">
        <v>17</v>
      </c>
      <c r="C495" s="125">
        <v>200</v>
      </c>
      <c r="D495" s="124">
        <v>200</v>
      </c>
      <c r="E495" s="117">
        <f t="shared" si="31"/>
        <v>0</v>
      </c>
      <c r="F495" s="118">
        <f t="shared" si="32"/>
        <v>100</v>
      </c>
      <c r="G495" s="86"/>
      <c r="H495" s="189">
        <f t="shared" si="30"/>
        <v>200</v>
      </c>
      <c r="I495" s="8"/>
      <c r="J495" s="183">
        <f>D495</f>
        <v>200</v>
      </c>
      <c r="K495" s="8"/>
      <c r="L495" s="8"/>
      <c r="M495" s="8"/>
      <c r="N495" s="185"/>
    </row>
    <row r="496" spans="1:14" ht="18">
      <c r="A496" s="83"/>
      <c r="B496" s="84"/>
      <c r="C496" s="94"/>
      <c r="D496" s="85"/>
      <c r="E496" s="93"/>
      <c r="F496" s="12"/>
      <c r="G496" s="86"/>
      <c r="H496" s="189">
        <f t="shared" si="30"/>
        <v>0</v>
      </c>
      <c r="I496" s="8"/>
      <c r="J496" s="8"/>
      <c r="K496" s="8"/>
      <c r="L496" s="8"/>
      <c r="M496" s="8"/>
      <c r="N496" s="185"/>
    </row>
    <row r="497" spans="1:14" ht="18">
      <c r="A497" s="95" t="s">
        <v>148</v>
      </c>
      <c r="B497" s="96" t="s">
        <v>15</v>
      </c>
      <c r="C497" s="98">
        <f>SUM(C498:C506)</f>
        <v>110600</v>
      </c>
      <c r="D497" s="97">
        <f>SUM(D498:D506)</f>
        <v>110600</v>
      </c>
      <c r="E497" s="93">
        <f t="shared" si="31"/>
        <v>0</v>
      </c>
      <c r="F497" s="12">
        <f t="shared" si="32"/>
        <v>100</v>
      </c>
      <c r="G497" s="86"/>
      <c r="H497" s="189">
        <f t="shared" si="30"/>
        <v>0</v>
      </c>
      <c r="I497" s="8"/>
      <c r="J497" s="8"/>
      <c r="K497" s="8"/>
      <c r="L497" s="8"/>
      <c r="M497" s="8"/>
      <c r="N497" s="185"/>
    </row>
    <row r="498" spans="1:14" ht="18">
      <c r="A498" s="83" t="s">
        <v>26</v>
      </c>
      <c r="B498" s="84" t="s">
        <v>27</v>
      </c>
      <c r="C498" s="98">
        <v>0</v>
      </c>
      <c r="D498" s="97">
        <v>0</v>
      </c>
      <c r="E498" s="93">
        <f t="shared" si="31"/>
        <v>0</v>
      </c>
      <c r="F498" s="12" t="e">
        <f t="shared" si="32"/>
        <v>#DIV/0!</v>
      </c>
      <c r="G498" s="86"/>
      <c r="H498" s="189">
        <f t="shared" si="30"/>
        <v>0</v>
      </c>
      <c r="I498" s="183">
        <f>D498</f>
        <v>0</v>
      </c>
      <c r="J498" s="8"/>
      <c r="K498" s="8"/>
      <c r="L498" s="8"/>
      <c r="M498" s="8"/>
      <c r="N498" s="185"/>
    </row>
    <row r="499" spans="1:14" ht="18">
      <c r="A499" s="83" t="s">
        <v>28</v>
      </c>
      <c r="B499" s="84" t="s">
        <v>29</v>
      </c>
      <c r="C499" s="98">
        <v>0</v>
      </c>
      <c r="D499" s="97">
        <v>0</v>
      </c>
      <c r="E499" s="93">
        <f t="shared" si="31"/>
        <v>0</v>
      </c>
      <c r="F499" s="12" t="e">
        <f t="shared" si="32"/>
        <v>#DIV/0!</v>
      </c>
      <c r="G499" s="86"/>
      <c r="H499" s="189">
        <f t="shared" si="30"/>
        <v>0</v>
      </c>
      <c r="I499" s="183">
        <f>D499</f>
        <v>0</v>
      </c>
      <c r="J499" s="8"/>
      <c r="K499" s="8"/>
      <c r="L499" s="8"/>
      <c r="M499" s="8"/>
      <c r="N499" s="185"/>
    </row>
    <row r="500" spans="1:14" ht="18">
      <c r="A500" s="122" t="s">
        <v>32</v>
      </c>
      <c r="B500" s="123" t="s">
        <v>33</v>
      </c>
      <c r="C500" s="125">
        <v>500</v>
      </c>
      <c r="D500" s="124">
        <v>1000</v>
      </c>
      <c r="E500" s="117">
        <f t="shared" si="31"/>
        <v>500</v>
      </c>
      <c r="F500" s="118">
        <f t="shared" si="32"/>
        <v>200</v>
      </c>
      <c r="G500" s="86"/>
      <c r="H500" s="189">
        <f t="shared" si="30"/>
        <v>1000</v>
      </c>
      <c r="I500" s="183">
        <f>D500</f>
        <v>1000</v>
      </c>
      <c r="J500" s="8"/>
      <c r="K500" s="8"/>
      <c r="L500" s="8"/>
      <c r="M500" s="8"/>
      <c r="N500" s="185"/>
    </row>
    <row r="501" spans="1:14" ht="18">
      <c r="A501" s="122" t="s">
        <v>34</v>
      </c>
      <c r="B501" s="123" t="s">
        <v>35</v>
      </c>
      <c r="C501" s="125">
        <v>3000</v>
      </c>
      <c r="D501" s="124">
        <v>2500</v>
      </c>
      <c r="E501" s="117">
        <f t="shared" si="31"/>
        <v>-500</v>
      </c>
      <c r="F501" s="118">
        <f t="shared" si="32"/>
        <v>83.33333333333333</v>
      </c>
      <c r="G501" s="86"/>
      <c r="H501" s="189">
        <f t="shared" si="30"/>
        <v>2500</v>
      </c>
      <c r="I501" s="8"/>
      <c r="J501" s="183">
        <f>D501</f>
        <v>2500</v>
      </c>
      <c r="K501" s="8"/>
      <c r="L501" s="8"/>
      <c r="M501" s="8"/>
      <c r="N501" s="185"/>
    </row>
    <row r="502" spans="1:14" ht="18">
      <c r="A502" s="122" t="s">
        <v>68</v>
      </c>
      <c r="B502" s="123" t="s">
        <v>69</v>
      </c>
      <c r="C502" s="125">
        <v>5000</v>
      </c>
      <c r="D502" s="124">
        <v>5000</v>
      </c>
      <c r="E502" s="117">
        <f t="shared" si="31"/>
        <v>0</v>
      </c>
      <c r="F502" s="118">
        <f t="shared" si="32"/>
        <v>100</v>
      </c>
      <c r="G502" s="86"/>
      <c r="H502" s="189">
        <f t="shared" si="30"/>
        <v>5000</v>
      </c>
      <c r="I502" s="8"/>
      <c r="J502" s="183">
        <f>D502</f>
        <v>5000</v>
      </c>
      <c r="K502" s="8"/>
      <c r="L502" s="8"/>
      <c r="M502" s="8"/>
      <c r="N502" s="185"/>
    </row>
    <row r="503" spans="1:14" ht="18">
      <c r="A503" s="122" t="s">
        <v>44</v>
      </c>
      <c r="B503" s="123" t="s">
        <v>45</v>
      </c>
      <c r="C503" s="125">
        <v>100</v>
      </c>
      <c r="D503" s="124">
        <v>100</v>
      </c>
      <c r="E503" s="117">
        <f t="shared" si="31"/>
        <v>0</v>
      </c>
      <c r="F503" s="118">
        <f t="shared" si="32"/>
        <v>100</v>
      </c>
      <c r="G503" s="86"/>
      <c r="H503" s="189">
        <f t="shared" si="30"/>
        <v>100</v>
      </c>
      <c r="I503" s="8"/>
      <c r="J503" s="183">
        <f>D503</f>
        <v>100</v>
      </c>
      <c r="K503" s="8"/>
      <c r="L503" s="8"/>
      <c r="M503" s="8"/>
      <c r="N503" s="185"/>
    </row>
    <row r="504" spans="1:14" ht="18">
      <c r="A504" s="122" t="s">
        <v>16</v>
      </c>
      <c r="B504" s="123" t="s">
        <v>17</v>
      </c>
      <c r="C504" s="125">
        <v>2000</v>
      </c>
      <c r="D504" s="124">
        <v>2000</v>
      </c>
      <c r="E504" s="117">
        <f t="shared" si="31"/>
        <v>0</v>
      </c>
      <c r="F504" s="118">
        <f t="shared" si="32"/>
        <v>100</v>
      </c>
      <c r="G504" s="86"/>
      <c r="H504" s="189">
        <f t="shared" si="30"/>
        <v>2000</v>
      </c>
      <c r="I504" s="8"/>
      <c r="J504" s="183">
        <f>D504</f>
        <v>2000</v>
      </c>
      <c r="K504" s="8"/>
      <c r="L504" s="8"/>
      <c r="M504" s="8"/>
      <c r="N504" s="185"/>
    </row>
    <row r="505" spans="1:14" ht="36">
      <c r="A505" s="83" t="s">
        <v>89</v>
      </c>
      <c r="B505" s="84" t="s">
        <v>98</v>
      </c>
      <c r="C505" s="94">
        <v>100000</v>
      </c>
      <c r="D505" s="85">
        <v>100000</v>
      </c>
      <c r="E505" s="93">
        <f t="shared" si="31"/>
        <v>0</v>
      </c>
      <c r="F505" s="12">
        <f t="shared" si="32"/>
        <v>100</v>
      </c>
      <c r="G505" s="86" t="s">
        <v>313</v>
      </c>
      <c r="H505" s="189">
        <f t="shared" si="30"/>
        <v>0</v>
      </c>
      <c r="I505" s="183"/>
      <c r="J505" s="183"/>
      <c r="K505" s="183"/>
      <c r="L505" s="183"/>
      <c r="M505" s="183"/>
      <c r="N505" s="186">
        <f>D505</f>
        <v>100000</v>
      </c>
    </row>
    <row r="506" spans="1:14" ht="18">
      <c r="A506" s="20"/>
      <c r="B506" s="7"/>
      <c r="C506" s="31"/>
      <c r="D506" s="21"/>
      <c r="E506" s="93"/>
      <c r="F506" s="12"/>
      <c r="G506" s="86"/>
      <c r="H506" s="189">
        <f t="shared" si="30"/>
        <v>0</v>
      </c>
      <c r="I506" s="8"/>
      <c r="J506" s="8"/>
      <c r="K506" s="8"/>
      <c r="L506" s="8"/>
      <c r="M506" s="8"/>
      <c r="N506" s="185"/>
    </row>
    <row r="507" spans="1:14" ht="18">
      <c r="A507" s="16" t="s">
        <v>149</v>
      </c>
      <c r="B507" s="17" t="s">
        <v>150</v>
      </c>
      <c r="C507" s="29">
        <f>SUM(C509+C515+C519)</f>
        <v>950000</v>
      </c>
      <c r="D507" s="18">
        <f>SUM(D509+D515+D519)</f>
        <v>1404083</v>
      </c>
      <c r="E507" s="93">
        <f t="shared" si="31"/>
        <v>454083</v>
      </c>
      <c r="F507" s="12">
        <f t="shared" si="32"/>
        <v>147.79821052631578</v>
      </c>
      <c r="G507" s="86"/>
      <c r="H507" s="189">
        <f t="shared" si="30"/>
        <v>0</v>
      </c>
      <c r="I507" s="8"/>
      <c r="J507" s="8"/>
      <c r="K507" s="8"/>
      <c r="L507" s="8"/>
      <c r="M507" s="8"/>
      <c r="N507" s="185"/>
    </row>
    <row r="508" spans="1:14" ht="18">
      <c r="A508" s="13"/>
      <c r="B508" s="8"/>
      <c r="C508" s="30"/>
      <c r="D508" s="14"/>
      <c r="E508" s="93"/>
      <c r="F508" s="12"/>
      <c r="G508" s="86"/>
      <c r="H508" s="189">
        <f t="shared" si="30"/>
        <v>0</v>
      </c>
      <c r="I508" s="8"/>
      <c r="J508" s="8"/>
      <c r="K508" s="8"/>
      <c r="L508" s="8"/>
      <c r="M508" s="8"/>
      <c r="N508" s="185"/>
    </row>
    <row r="509" spans="1:14" ht="18">
      <c r="A509" s="126" t="s">
        <v>151</v>
      </c>
      <c r="B509" s="127" t="s">
        <v>152</v>
      </c>
      <c r="C509" s="129">
        <f>SUM(C510:C513)</f>
        <v>750000</v>
      </c>
      <c r="D509" s="128">
        <f>SUM(D510:D513)</f>
        <v>1150083</v>
      </c>
      <c r="E509" s="117">
        <f t="shared" si="31"/>
        <v>400083</v>
      </c>
      <c r="F509" s="118">
        <f t="shared" si="32"/>
        <v>153.3444</v>
      </c>
      <c r="G509" s="86"/>
      <c r="H509" s="189">
        <f t="shared" si="30"/>
        <v>0</v>
      </c>
      <c r="I509" s="8"/>
      <c r="J509" s="8"/>
      <c r="K509" s="8"/>
      <c r="L509" s="8"/>
      <c r="M509" s="8"/>
      <c r="N509" s="185"/>
    </row>
    <row r="510" spans="1:14" ht="18">
      <c r="A510" s="122" t="s">
        <v>153</v>
      </c>
      <c r="B510" s="123" t="s">
        <v>154</v>
      </c>
      <c r="C510" s="125">
        <v>250000</v>
      </c>
      <c r="D510" s="124">
        <v>303000</v>
      </c>
      <c r="E510" s="117">
        <f t="shared" si="31"/>
        <v>53000</v>
      </c>
      <c r="F510" s="118">
        <f t="shared" si="32"/>
        <v>121.2</v>
      </c>
      <c r="G510" s="86"/>
      <c r="H510" s="189">
        <f t="shared" si="30"/>
        <v>303000</v>
      </c>
      <c r="I510" s="8"/>
      <c r="J510" s="8"/>
      <c r="K510" s="183">
        <f>D510</f>
        <v>303000</v>
      </c>
      <c r="L510" s="8"/>
      <c r="M510" s="8"/>
      <c r="N510" s="185"/>
    </row>
    <row r="511" spans="1:14" ht="18">
      <c r="A511" s="122"/>
      <c r="B511" s="123" t="s">
        <v>155</v>
      </c>
      <c r="C511" s="125"/>
      <c r="D511" s="124"/>
      <c r="E511" s="117"/>
      <c r="F511" s="118"/>
      <c r="G511" s="86"/>
      <c r="H511" s="189">
        <f t="shared" si="30"/>
        <v>0</v>
      </c>
      <c r="I511" s="8"/>
      <c r="J511" s="8"/>
      <c r="K511" s="8"/>
      <c r="L511" s="8"/>
      <c r="M511" s="8"/>
      <c r="N511" s="185"/>
    </row>
    <row r="512" spans="1:14" ht="18">
      <c r="A512" s="122" t="s">
        <v>89</v>
      </c>
      <c r="B512" s="123" t="s">
        <v>98</v>
      </c>
      <c r="C512" s="125">
        <v>500000</v>
      </c>
      <c r="D512" s="124">
        <f>147083+700000-197692</f>
        <v>649391</v>
      </c>
      <c r="E512" s="117">
        <f t="shared" si="31"/>
        <v>149391</v>
      </c>
      <c r="F512" s="118">
        <f t="shared" si="32"/>
        <v>129.8782</v>
      </c>
      <c r="G512" s="86" t="s">
        <v>354</v>
      </c>
      <c r="H512" s="189">
        <f t="shared" si="30"/>
        <v>0</v>
      </c>
      <c r="I512" s="183"/>
      <c r="J512" s="183"/>
      <c r="K512" s="183"/>
      <c r="L512" s="183"/>
      <c r="M512" s="183"/>
      <c r="N512" s="186">
        <f>D512</f>
        <v>649391</v>
      </c>
    </row>
    <row r="513" spans="1:14" ht="18">
      <c r="A513" s="122" t="s">
        <v>202</v>
      </c>
      <c r="B513" s="123" t="s">
        <v>98</v>
      </c>
      <c r="C513" s="125">
        <v>0</v>
      </c>
      <c r="D513" s="124">
        <v>197692</v>
      </c>
      <c r="E513" s="117">
        <f>D513-C513</f>
        <v>197692</v>
      </c>
      <c r="F513" s="118" t="e">
        <f>D513*100/C513</f>
        <v>#DIV/0!</v>
      </c>
      <c r="G513" s="86"/>
      <c r="H513" s="189">
        <f t="shared" si="30"/>
        <v>0</v>
      </c>
      <c r="I513" s="183"/>
      <c r="J513" s="183"/>
      <c r="K513" s="183"/>
      <c r="L513" s="183"/>
      <c r="M513" s="183"/>
      <c r="N513" s="186">
        <f>D513</f>
        <v>197692</v>
      </c>
    </row>
    <row r="514" spans="1:14" ht="18">
      <c r="A514" s="126"/>
      <c r="B514" s="127"/>
      <c r="C514" s="129"/>
      <c r="D514" s="128"/>
      <c r="E514" s="117"/>
      <c r="F514" s="118"/>
      <c r="G514" s="86"/>
      <c r="H514" s="189">
        <f t="shared" si="30"/>
        <v>0</v>
      </c>
      <c r="I514" s="8"/>
      <c r="J514" s="8"/>
      <c r="K514" s="8"/>
      <c r="L514" s="8"/>
      <c r="M514" s="8"/>
      <c r="N514" s="185"/>
    </row>
    <row r="515" spans="1:14" ht="18">
      <c r="A515" s="126" t="s">
        <v>156</v>
      </c>
      <c r="B515" s="127" t="s">
        <v>157</v>
      </c>
      <c r="C515" s="129">
        <f>SUM(C516)</f>
        <v>180000</v>
      </c>
      <c r="D515" s="128">
        <f>SUM(D516)</f>
        <v>199000</v>
      </c>
      <c r="E515" s="117">
        <f t="shared" si="31"/>
        <v>19000</v>
      </c>
      <c r="F515" s="118">
        <f t="shared" si="32"/>
        <v>110.55555555555556</v>
      </c>
      <c r="G515" s="86"/>
      <c r="H515" s="189">
        <f t="shared" si="30"/>
        <v>0</v>
      </c>
      <c r="I515" s="8"/>
      <c r="J515" s="8"/>
      <c r="K515" s="8"/>
      <c r="L515" s="8"/>
      <c r="M515" s="8"/>
      <c r="N515" s="185"/>
    </row>
    <row r="516" spans="1:14" ht="18">
      <c r="A516" s="122" t="s">
        <v>153</v>
      </c>
      <c r="B516" s="123" t="s">
        <v>154</v>
      </c>
      <c r="C516" s="125">
        <v>180000</v>
      </c>
      <c r="D516" s="124">
        <v>199000</v>
      </c>
      <c r="E516" s="117">
        <f t="shared" si="31"/>
        <v>19000</v>
      </c>
      <c r="F516" s="118">
        <f t="shared" si="32"/>
        <v>110.55555555555556</v>
      </c>
      <c r="G516" s="86"/>
      <c r="H516" s="189">
        <f t="shared" si="30"/>
        <v>199000</v>
      </c>
      <c r="I516" s="8"/>
      <c r="J516" s="8"/>
      <c r="K516" s="183">
        <f>D516</f>
        <v>199000</v>
      </c>
      <c r="L516" s="8"/>
      <c r="M516" s="8"/>
      <c r="N516" s="185"/>
    </row>
    <row r="517" spans="1:14" ht="18">
      <c r="A517" s="122"/>
      <c r="B517" s="123" t="s">
        <v>158</v>
      </c>
      <c r="C517" s="125"/>
      <c r="D517" s="124"/>
      <c r="E517" s="117"/>
      <c r="F517" s="118"/>
      <c r="G517" s="86"/>
      <c r="H517" s="189">
        <f t="shared" si="30"/>
        <v>0</v>
      </c>
      <c r="I517" s="8"/>
      <c r="J517" s="8"/>
      <c r="K517" s="8"/>
      <c r="L517" s="8"/>
      <c r="M517" s="8"/>
      <c r="N517" s="185"/>
    </row>
    <row r="518" spans="1:14" ht="18">
      <c r="A518" s="83"/>
      <c r="B518" s="84"/>
      <c r="C518" s="94"/>
      <c r="D518" s="85"/>
      <c r="E518" s="93"/>
      <c r="F518" s="12"/>
      <c r="G518" s="86"/>
      <c r="H518" s="189">
        <f t="shared" si="30"/>
        <v>0</v>
      </c>
      <c r="I518" s="8"/>
      <c r="J518" s="8"/>
      <c r="K518" s="8"/>
      <c r="L518" s="8"/>
      <c r="M518" s="8"/>
      <c r="N518" s="185"/>
    </row>
    <row r="519" spans="1:14" ht="18">
      <c r="A519" s="95" t="s">
        <v>193</v>
      </c>
      <c r="B519" s="96" t="s">
        <v>194</v>
      </c>
      <c r="C519" s="98">
        <f>SUM(C520:C524)</f>
        <v>20000</v>
      </c>
      <c r="D519" s="97">
        <f>SUM(D520:D524)</f>
        <v>55000</v>
      </c>
      <c r="E519" s="93">
        <f t="shared" si="31"/>
        <v>35000</v>
      </c>
      <c r="F519" s="12">
        <f t="shared" si="32"/>
        <v>275</v>
      </c>
      <c r="G519" s="86"/>
      <c r="H519" s="189">
        <f aca="true" t="shared" si="33" ref="H519:H534">SUM(I519:M519)</f>
        <v>0</v>
      </c>
      <c r="I519" s="8"/>
      <c r="J519" s="8"/>
      <c r="K519" s="8"/>
      <c r="L519" s="8"/>
      <c r="M519" s="8"/>
      <c r="N519" s="185"/>
    </row>
    <row r="520" spans="1:14" ht="18">
      <c r="A520" s="151" t="s">
        <v>195</v>
      </c>
      <c r="B520" s="152" t="s">
        <v>263</v>
      </c>
      <c r="C520" s="154">
        <v>0</v>
      </c>
      <c r="D520" s="153">
        <v>50000</v>
      </c>
      <c r="E520" s="93">
        <f t="shared" si="31"/>
        <v>50000</v>
      </c>
      <c r="F520" s="12" t="e">
        <f t="shared" si="32"/>
        <v>#DIV/0!</v>
      </c>
      <c r="G520" s="86" t="s">
        <v>361</v>
      </c>
      <c r="H520" s="189">
        <f t="shared" si="33"/>
        <v>50000</v>
      </c>
      <c r="I520" s="8"/>
      <c r="J520" s="8"/>
      <c r="K520" s="183">
        <f>D520</f>
        <v>50000</v>
      </c>
      <c r="L520" s="8"/>
      <c r="M520" s="8"/>
      <c r="N520" s="185"/>
    </row>
    <row r="521" spans="1:14" ht="18">
      <c r="A521" s="151"/>
      <c r="B521" s="152" t="s">
        <v>196</v>
      </c>
      <c r="C521" s="154"/>
      <c r="D521" s="153"/>
      <c r="E521" s="93"/>
      <c r="F521" s="12"/>
      <c r="G521" s="86"/>
      <c r="H521" s="189">
        <f t="shared" si="33"/>
        <v>0</v>
      </c>
      <c r="I521" s="8"/>
      <c r="J521" s="8"/>
      <c r="K521" s="8"/>
      <c r="L521" s="8"/>
      <c r="M521" s="8"/>
      <c r="N521" s="185"/>
    </row>
    <row r="522" spans="1:14" ht="18">
      <c r="A522" s="151"/>
      <c r="B522" s="152" t="s">
        <v>264</v>
      </c>
      <c r="C522" s="154"/>
      <c r="D522" s="153"/>
      <c r="E522" s="93"/>
      <c r="F522" s="12"/>
      <c r="G522" s="86"/>
      <c r="H522" s="189">
        <f t="shared" si="33"/>
        <v>0</v>
      </c>
      <c r="I522" s="8"/>
      <c r="J522" s="8"/>
      <c r="K522" s="8"/>
      <c r="L522" s="8"/>
      <c r="M522" s="8"/>
      <c r="N522" s="185"/>
    </row>
    <row r="523" spans="1:14" ht="18">
      <c r="A523" s="151"/>
      <c r="B523" s="152" t="s">
        <v>207</v>
      </c>
      <c r="C523" s="154"/>
      <c r="D523" s="153"/>
      <c r="E523" s="93"/>
      <c r="F523" s="12"/>
      <c r="G523" s="86"/>
      <c r="H523" s="189">
        <f t="shared" si="33"/>
        <v>0</v>
      </c>
      <c r="I523" s="8"/>
      <c r="J523" s="8"/>
      <c r="K523" s="8"/>
      <c r="L523" s="8"/>
      <c r="M523" s="8"/>
      <c r="N523" s="185"/>
    </row>
    <row r="524" spans="1:14" ht="18">
      <c r="A524" s="122" t="s">
        <v>16</v>
      </c>
      <c r="B524" s="123" t="s">
        <v>17</v>
      </c>
      <c r="C524" s="125">
        <v>20000</v>
      </c>
      <c r="D524" s="124">
        <v>5000</v>
      </c>
      <c r="E524" s="117">
        <f t="shared" si="31"/>
        <v>-15000</v>
      </c>
      <c r="F524" s="118">
        <f t="shared" si="32"/>
        <v>25</v>
      </c>
      <c r="G524" s="88" t="s">
        <v>290</v>
      </c>
      <c r="H524" s="189">
        <f t="shared" si="33"/>
        <v>5000</v>
      </c>
      <c r="I524" s="8"/>
      <c r="J524" s="183">
        <f>D524</f>
        <v>5000</v>
      </c>
      <c r="K524" s="8"/>
      <c r="L524" s="8"/>
      <c r="M524" s="8"/>
      <c r="N524" s="185"/>
    </row>
    <row r="525" spans="1:14" ht="18">
      <c r="A525" s="13"/>
      <c r="B525" s="8"/>
      <c r="C525" s="30"/>
      <c r="D525" s="14"/>
      <c r="E525" s="93"/>
      <c r="F525" s="12"/>
      <c r="G525" s="86"/>
      <c r="H525" s="189">
        <f t="shared" si="33"/>
        <v>0</v>
      </c>
      <c r="I525" s="8"/>
      <c r="J525" s="8"/>
      <c r="K525" s="8"/>
      <c r="L525" s="8"/>
      <c r="M525" s="8"/>
      <c r="N525" s="185"/>
    </row>
    <row r="526" spans="1:14" ht="18">
      <c r="A526" s="89" t="s">
        <v>159</v>
      </c>
      <c r="B526" s="90" t="s">
        <v>160</v>
      </c>
      <c r="C526" s="92">
        <f>SUM(C531+C528)</f>
        <v>68000</v>
      </c>
      <c r="D526" s="91">
        <f>SUM(D531+D528)</f>
        <v>110000</v>
      </c>
      <c r="E526" s="93">
        <f t="shared" si="31"/>
        <v>42000</v>
      </c>
      <c r="F526" s="12">
        <f t="shared" si="32"/>
        <v>161.76470588235293</v>
      </c>
      <c r="G526" s="86"/>
      <c r="H526" s="189">
        <f t="shared" si="33"/>
        <v>0</v>
      </c>
      <c r="I526" s="8"/>
      <c r="J526" s="8"/>
      <c r="K526" s="8"/>
      <c r="L526" s="8"/>
      <c r="M526" s="8"/>
      <c r="N526" s="185"/>
    </row>
    <row r="527" spans="1:14" ht="18">
      <c r="A527" s="95"/>
      <c r="B527" s="96"/>
      <c r="C527" s="98"/>
      <c r="D527" s="97"/>
      <c r="E527" s="93"/>
      <c r="F527" s="12"/>
      <c r="G527" s="86"/>
      <c r="H527" s="189">
        <f t="shared" si="33"/>
        <v>0</v>
      </c>
      <c r="I527" s="8"/>
      <c r="J527" s="8"/>
      <c r="K527" s="8"/>
      <c r="L527" s="8"/>
      <c r="M527" s="8"/>
      <c r="N527" s="185"/>
    </row>
    <row r="528" spans="1:14" ht="18">
      <c r="A528" s="95" t="s">
        <v>258</v>
      </c>
      <c r="B528" s="96" t="s">
        <v>259</v>
      </c>
      <c r="C528" s="98">
        <f>SUM(C529)</f>
        <v>18000</v>
      </c>
      <c r="D528" s="97">
        <f>SUM(D529)</f>
        <v>50000</v>
      </c>
      <c r="E528" s="93">
        <f t="shared" si="31"/>
        <v>32000</v>
      </c>
      <c r="F528" s="12">
        <f t="shared" si="32"/>
        <v>277.77777777777777</v>
      </c>
      <c r="G528" s="86"/>
      <c r="H528" s="189">
        <f t="shared" si="33"/>
        <v>0</v>
      </c>
      <c r="I528" s="8"/>
      <c r="J528" s="8"/>
      <c r="K528" s="8"/>
      <c r="L528" s="8"/>
      <c r="M528" s="8"/>
      <c r="N528" s="185"/>
    </row>
    <row r="529" spans="1:14" ht="18">
      <c r="A529" s="83" t="s">
        <v>89</v>
      </c>
      <c r="B529" s="84" t="s">
        <v>98</v>
      </c>
      <c r="C529" s="94">
        <v>18000</v>
      </c>
      <c r="D529" s="85">
        <v>50000</v>
      </c>
      <c r="E529" s="93">
        <f t="shared" si="31"/>
        <v>32000</v>
      </c>
      <c r="F529" s="12">
        <f t="shared" si="32"/>
        <v>277.77777777777777</v>
      </c>
      <c r="G529" s="86" t="s">
        <v>314</v>
      </c>
      <c r="H529" s="189">
        <f t="shared" si="33"/>
        <v>0</v>
      </c>
      <c r="I529" s="183"/>
      <c r="J529" s="183"/>
      <c r="K529" s="183"/>
      <c r="L529" s="183"/>
      <c r="M529" s="183"/>
      <c r="N529" s="186">
        <f>D529</f>
        <v>50000</v>
      </c>
    </row>
    <row r="530" spans="1:14" ht="18">
      <c r="A530" s="95"/>
      <c r="B530" s="96"/>
      <c r="C530" s="98"/>
      <c r="D530" s="97"/>
      <c r="E530" s="93"/>
      <c r="F530" s="12"/>
      <c r="G530" s="86"/>
      <c r="H530" s="189">
        <f t="shared" si="33"/>
        <v>0</v>
      </c>
      <c r="I530" s="8"/>
      <c r="J530" s="8"/>
      <c r="K530" s="8"/>
      <c r="L530" s="8"/>
      <c r="M530" s="8"/>
      <c r="N530" s="185"/>
    </row>
    <row r="531" spans="1:14" ht="18">
      <c r="A531" s="126" t="s">
        <v>161</v>
      </c>
      <c r="B531" s="127" t="s">
        <v>15</v>
      </c>
      <c r="C531" s="129">
        <f>SUM(C532)</f>
        <v>50000</v>
      </c>
      <c r="D531" s="128">
        <f>SUM(D532)</f>
        <v>60000</v>
      </c>
      <c r="E531" s="117">
        <f t="shared" si="31"/>
        <v>10000</v>
      </c>
      <c r="F531" s="118">
        <f t="shared" si="32"/>
        <v>120</v>
      </c>
      <c r="G531" s="86"/>
      <c r="H531" s="189">
        <f t="shared" si="33"/>
        <v>0</v>
      </c>
      <c r="I531" s="8"/>
      <c r="J531" s="8"/>
      <c r="K531" s="8"/>
      <c r="L531" s="8"/>
      <c r="M531" s="8"/>
      <c r="N531" s="185"/>
    </row>
    <row r="532" spans="1:14" ht="18">
      <c r="A532" s="122" t="s">
        <v>104</v>
      </c>
      <c r="B532" s="123" t="s">
        <v>105</v>
      </c>
      <c r="C532" s="125">
        <v>50000</v>
      </c>
      <c r="D532" s="124">
        <v>60000</v>
      </c>
      <c r="E532" s="117">
        <f t="shared" si="31"/>
        <v>10000</v>
      </c>
      <c r="F532" s="118">
        <f t="shared" si="32"/>
        <v>120</v>
      </c>
      <c r="G532" s="86" t="s">
        <v>370</v>
      </c>
      <c r="H532" s="189">
        <f t="shared" si="33"/>
        <v>60000</v>
      </c>
      <c r="I532" s="8"/>
      <c r="J532" s="8"/>
      <c r="K532" s="183">
        <f>D532</f>
        <v>60000</v>
      </c>
      <c r="L532" s="8"/>
      <c r="M532" s="8"/>
      <c r="N532" s="185"/>
    </row>
    <row r="533" spans="1:14" ht="18">
      <c r="A533" s="122"/>
      <c r="B533" s="123" t="s">
        <v>162</v>
      </c>
      <c r="C533" s="125"/>
      <c r="D533" s="124"/>
      <c r="E533" s="117"/>
      <c r="F533" s="118"/>
      <c r="G533" s="86"/>
      <c r="H533" s="189">
        <f t="shared" si="33"/>
        <v>0</v>
      </c>
      <c r="I533" s="8"/>
      <c r="J533" s="8"/>
      <c r="K533" s="8"/>
      <c r="L533" s="8"/>
      <c r="M533" s="8"/>
      <c r="N533" s="185"/>
    </row>
    <row r="534" spans="1:14" ht="18">
      <c r="A534" s="130"/>
      <c r="B534" s="131" t="s">
        <v>107</v>
      </c>
      <c r="C534" s="133"/>
      <c r="D534" s="132"/>
      <c r="E534" s="117"/>
      <c r="F534" s="118"/>
      <c r="G534" s="86"/>
      <c r="H534" s="189">
        <f t="shared" si="33"/>
        <v>0</v>
      </c>
      <c r="I534" s="7"/>
      <c r="J534" s="7"/>
      <c r="K534" s="7"/>
      <c r="L534" s="7"/>
      <c r="M534" s="7"/>
      <c r="N534" s="187"/>
    </row>
    <row r="535" spans="1:14" ht="18">
      <c r="A535" s="110"/>
      <c r="B535" s="111" t="s">
        <v>163</v>
      </c>
      <c r="C535" s="196">
        <f>C526+C507+C466+C456+C365+C342+C208+C203+C196+C190+C153+C144+C80+C65+C43+C29+C6+C75</f>
        <v>16196029</v>
      </c>
      <c r="D535" s="112">
        <f>D526+D507+D466+D456+D365+D342+D208+D203+D196+D190+D153+D144+D80+D65+D43+D29+D6+D75</f>
        <v>19144652</v>
      </c>
      <c r="E535" s="93">
        <f t="shared" si="31"/>
        <v>2948623</v>
      </c>
      <c r="F535" s="12">
        <f t="shared" si="32"/>
        <v>118.2058392214536</v>
      </c>
      <c r="G535" s="86"/>
      <c r="H535" s="188">
        <f>SUM(H6:H534)</f>
        <v>13287227</v>
      </c>
      <c r="I535" s="188">
        <f aca="true" t="shared" si="34" ref="I535:N535">SUM(I6:I534)</f>
        <v>6494138</v>
      </c>
      <c r="J535" s="188">
        <f t="shared" si="34"/>
        <v>2558364</v>
      </c>
      <c r="K535" s="188">
        <f t="shared" si="34"/>
        <v>1116848</v>
      </c>
      <c r="L535" s="188">
        <f t="shared" si="34"/>
        <v>3067877</v>
      </c>
      <c r="M535" s="188">
        <f t="shared" si="34"/>
        <v>50000</v>
      </c>
      <c r="N535" s="188">
        <f t="shared" si="34"/>
        <v>5857425</v>
      </c>
    </row>
    <row r="536" spans="1:5" ht="18">
      <c r="A536" s="36"/>
      <c r="C536" s="37"/>
      <c r="D536" s="37"/>
      <c r="E536" s="38"/>
    </row>
    <row r="537" spans="1:5" ht="18">
      <c r="A537" s="36"/>
      <c r="C537" s="37"/>
      <c r="D537" s="37"/>
      <c r="E537" s="38"/>
    </row>
    <row r="538" spans="1:5" ht="18">
      <c r="A538" s="36"/>
      <c r="C538" s="37"/>
      <c r="D538" s="37"/>
      <c r="E538" s="38"/>
    </row>
    <row r="539" spans="1:5" ht="18">
      <c r="A539" s="55"/>
      <c r="B539" s="56"/>
      <c r="C539" s="57"/>
      <c r="D539" s="57"/>
      <c r="E539" s="58"/>
    </row>
    <row r="540" spans="1:5" ht="18">
      <c r="A540" s="23"/>
      <c r="B540" s="24"/>
      <c r="C540" s="25"/>
      <c r="D540" s="25"/>
      <c r="E540" s="27"/>
    </row>
    <row r="541" spans="1:5" ht="18">
      <c r="A541" s="23"/>
      <c r="B541" s="24"/>
      <c r="C541" s="25"/>
      <c r="D541" s="25"/>
      <c r="E541" s="27"/>
    </row>
    <row r="542" spans="1:5" ht="18">
      <c r="A542" s="23"/>
      <c r="B542" s="24"/>
      <c r="C542" s="25"/>
      <c r="D542" s="25"/>
      <c r="E542" s="27"/>
    </row>
    <row r="543" spans="1:5" ht="18">
      <c r="A543" s="23"/>
      <c r="B543" s="24"/>
      <c r="C543" s="25"/>
      <c r="D543" s="25"/>
      <c r="E543" s="27"/>
    </row>
    <row r="544" spans="1:5" ht="18">
      <c r="A544" s="23"/>
      <c r="B544" s="24"/>
      <c r="C544" s="25"/>
      <c r="D544" s="25"/>
      <c r="E544" s="27"/>
    </row>
    <row r="545" spans="1:5" ht="18">
      <c r="A545" s="23"/>
      <c r="B545" s="24"/>
      <c r="C545" s="25"/>
      <c r="D545" s="25"/>
      <c r="E545" s="27"/>
    </row>
    <row r="546" spans="1:5" ht="18">
      <c r="A546" s="36"/>
      <c r="C546" s="37"/>
      <c r="D546" s="37"/>
      <c r="E546" s="38"/>
    </row>
    <row r="547" spans="1:5" ht="18">
      <c r="A547" s="36"/>
      <c r="C547" s="37"/>
      <c r="D547" s="37"/>
      <c r="E547" s="38"/>
    </row>
    <row r="548" spans="1:5" ht="18">
      <c r="A548" s="36"/>
      <c r="C548" s="37"/>
      <c r="D548" s="37"/>
      <c r="E548" s="38"/>
    </row>
    <row r="549" spans="1:5" ht="18">
      <c r="A549" s="36"/>
      <c r="C549" s="37"/>
      <c r="D549" s="37"/>
      <c r="E549" s="38"/>
    </row>
    <row r="550" spans="1:5" ht="18">
      <c r="A550" s="36"/>
      <c r="C550" s="37"/>
      <c r="D550" s="37"/>
      <c r="E550" s="38"/>
    </row>
    <row r="551" spans="1:5" ht="18">
      <c r="A551" s="36"/>
      <c r="C551" s="37"/>
      <c r="D551" s="37"/>
      <c r="E551" s="38"/>
    </row>
    <row r="552" spans="1:5" ht="18">
      <c r="A552" s="36"/>
      <c r="C552" s="37"/>
      <c r="D552" s="37"/>
      <c r="E552" s="38"/>
    </row>
    <row r="553" spans="1:5" ht="18">
      <c r="A553" s="36"/>
      <c r="C553" s="37"/>
      <c r="D553" s="37"/>
      <c r="E553" s="38"/>
    </row>
    <row r="554" spans="1:5" ht="18">
      <c r="A554" s="36"/>
      <c r="C554" s="37"/>
      <c r="D554" s="37"/>
      <c r="E554" s="38"/>
    </row>
    <row r="555" spans="1:5" ht="18">
      <c r="A555" s="36"/>
      <c r="C555" s="37"/>
      <c r="D555" s="37"/>
      <c r="E555" s="38"/>
    </row>
    <row r="556" spans="1:5" ht="18">
      <c r="A556" s="36"/>
      <c r="C556" s="37"/>
      <c r="D556" s="37"/>
      <c r="E556" s="38"/>
    </row>
    <row r="557" spans="1:5" ht="18">
      <c r="A557" s="36"/>
      <c r="C557" s="37"/>
      <c r="D557" s="37"/>
      <c r="E557" s="38"/>
    </row>
    <row r="558" spans="1:5" ht="18">
      <c r="A558" s="36"/>
      <c r="C558" s="37"/>
      <c r="D558" s="37"/>
      <c r="E558" s="38"/>
    </row>
    <row r="559" spans="1:5" ht="18">
      <c r="A559" s="36"/>
      <c r="C559" s="37"/>
      <c r="D559" s="37"/>
      <c r="E559" s="38"/>
    </row>
    <row r="560" spans="1:5" ht="18">
      <c r="A560" s="36"/>
      <c r="C560" s="37"/>
      <c r="D560" s="37"/>
      <c r="E560" s="38"/>
    </row>
    <row r="561" spans="1:5" ht="18">
      <c r="A561" s="36"/>
      <c r="C561" s="37"/>
      <c r="D561" s="37"/>
      <c r="E561" s="38"/>
    </row>
    <row r="562" spans="1:5" ht="18">
      <c r="A562" s="36"/>
      <c r="C562" s="37"/>
      <c r="D562" s="37"/>
      <c r="E562" s="38"/>
    </row>
    <row r="563" spans="1:5" ht="18">
      <c r="A563" s="36"/>
      <c r="C563" s="37"/>
      <c r="D563" s="37"/>
      <c r="E563" s="38"/>
    </row>
    <row r="564" spans="1:5" ht="18">
      <c r="A564" s="36"/>
      <c r="C564" s="37"/>
      <c r="D564" s="37"/>
      <c r="E564" s="38"/>
    </row>
    <row r="565" spans="1:5" ht="18">
      <c r="A565" s="36"/>
      <c r="C565" s="37"/>
      <c r="D565" s="37"/>
      <c r="E565" s="38"/>
    </row>
    <row r="566" spans="1:5" ht="18">
      <c r="A566" s="36"/>
      <c r="C566" s="37"/>
      <c r="D566" s="37"/>
      <c r="E566" s="38"/>
    </row>
    <row r="567" spans="1:5" ht="18">
      <c r="A567" s="36"/>
      <c r="C567" s="37"/>
      <c r="D567" s="37"/>
      <c r="E567" s="38"/>
    </row>
    <row r="568" spans="1:5" ht="18">
      <c r="A568" s="36"/>
      <c r="C568" s="37"/>
      <c r="D568" s="37"/>
      <c r="E568" s="38"/>
    </row>
    <row r="569" spans="1:5" ht="18">
      <c r="A569" s="36"/>
      <c r="C569" s="37"/>
      <c r="D569" s="37"/>
      <c r="E569" s="38"/>
    </row>
    <row r="570" spans="1:5" ht="18">
      <c r="A570" s="36"/>
      <c r="C570" s="37"/>
      <c r="D570" s="37"/>
      <c r="E570" s="38"/>
    </row>
    <row r="571" spans="1:5" ht="18">
      <c r="A571" s="36"/>
      <c r="C571" s="37"/>
      <c r="D571" s="37"/>
      <c r="E571" s="38"/>
    </row>
    <row r="572" spans="1:5" ht="18">
      <c r="A572" s="36"/>
      <c r="C572" s="37"/>
      <c r="D572" s="37"/>
      <c r="E572" s="38"/>
    </row>
    <row r="573" spans="1:5" ht="18">
      <c r="A573" s="36"/>
      <c r="C573" s="37"/>
      <c r="D573" s="37"/>
      <c r="E573" s="38"/>
    </row>
    <row r="574" spans="1:5" ht="18">
      <c r="A574" s="36"/>
      <c r="C574" s="37"/>
      <c r="D574" s="37"/>
      <c r="E574" s="38"/>
    </row>
    <row r="575" spans="1:5" ht="18">
      <c r="A575" s="36"/>
      <c r="C575" s="37"/>
      <c r="D575" s="37"/>
      <c r="E575" s="38"/>
    </row>
    <row r="576" spans="1:5" ht="18">
      <c r="A576" s="36"/>
      <c r="C576" s="37"/>
      <c r="D576" s="37"/>
      <c r="E576" s="38"/>
    </row>
    <row r="577" spans="1:5" ht="18">
      <c r="A577" s="36"/>
      <c r="C577" s="37"/>
      <c r="D577" s="37"/>
      <c r="E577" s="38"/>
    </row>
    <row r="578" spans="1:5" ht="18">
      <c r="A578" s="36"/>
      <c r="C578" s="37"/>
      <c r="D578" s="37"/>
      <c r="E578" s="38"/>
    </row>
    <row r="579" spans="1:5" ht="18">
      <c r="A579" s="36"/>
      <c r="C579" s="37"/>
      <c r="D579" s="37"/>
      <c r="E579" s="38"/>
    </row>
    <row r="580" spans="1:5" ht="18">
      <c r="A580" s="36"/>
      <c r="C580" s="37"/>
      <c r="D580" s="37"/>
      <c r="E580" s="38"/>
    </row>
    <row r="581" spans="1:5" ht="18">
      <c r="A581" s="36"/>
      <c r="C581" s="37"/>
      <c r="D581" s="37"/>
      <c r="E581" s="38"/>
    </row>
    <row r="582" spans="1:5" ht="18">
      <c r="A582" s="36"/>
      <c r="C582" s="37"/>
      <c r="D582" s="37"/>
      <c r="E582" s="38"/>
    </row>
    <row r="583" spans="1:5" ht="18">
      <c r="A583" s="36"/>
      <c r="C583" s="37"/>
      <c r="D583" s="37"/>
      <c r="E583" s="38"/>
    </row>
    <row r="584" spans="1:5" ht="18">
      <c r="A584" s="36"/>
      <c r="C584" s="37"/>
      <c r="D584" s="37"/>
      <c r="E584" s="38"/>
    </row>
    <row r="585" spans="1:5" ht="18">
      <c r="A585" s="36"/>
      <c r="C585" s="37"/>
      <c r="D585" s="37"/>
      <c r="E585" s="38"/>
    </row>
    <row r="586" spans="1:5" ht="18">
      <c r="A586" s="36"/>
      <c r="C586" s="37"/>
      <c r="D586" s="37"/>
      <c r="E586" s="38"/>
    </row>
    <row r="587" spans="1:5" ht="18">
      <c r="A587" s="36"/>
      <c r="C587" s="37"/>
      <c r="D587" s="37"/>
      <c r="E587" s="38"/>
    </row>
    <row r="588" spans="1:5" ht="18">
      <c r="A588" s="36"/>
      <c r="C588" s="37"/>
      <c r="D588" s="37"/>
      <c r="E588" s="38"/>
    </row>
    <row r="589" spans="1:5" ht="18">
      <c r="A589" s="36"/>
      <c r="C589" s="37"/>
      <c r="D589" s="37"/>
      <c r="E589" s="38"/>
    </row>
    <row r="590" spans="1:5" ht="18">
      <c r="A590" s="36"/>
      <c r="C590" s="37"/>
      <c r="D590" s="37"/>
      <c r="E590" s="38"/>
    </row>
    <row r="591" spans="1:5" ht="18">
      <c r="A591" s="36"/>
      <c r="C591" s="37"/>
      <c r="D591" s="37"/>
      <c r="E591" s="38"/>
    </row>
    <row r="592" spans="1:5" ht="18">
      <c r="A592" s="36"/>
      <c r="C592" s="37"/>
      <c r="D592" s="37"/>
      <c r="E592" s="38"/>
    </row>
    <row r="593" spans="1:5" ht="18">
      <c r="A593" s="36"/>
      <c r="C593" s="37"/>
      <c r="D593" s="37"/>
      <c r="E593" s="38"/>
    </row>
    <row r="594" spans="1:5" ht="18">
      <c r="A594" s="36"/>
      <c r="C594" s="37"/>
      <c r="D594" s="37"/>
      <c r="E594" s="38"/>
    </row>
    <row r="595" spans="1:5" ht="18">
      <c r="A595" s="36"/>
      <c r="C595" s="37"/>
      <c r="D595" s="37"/>
      <c r="E595" s="38"/>
    </row>
    <row r="596" spans="1:5" ht="18">
      <c r="A596" s="36"/>
      <c r="C596" s="37"/>
      <c r="D596" s="37"/>
      <c r="E596" s="38"/>
    </row>
    <row r="597" spans="1:5" ht="18">
      <c r="A597" s="36"/>
      <c r="C597" s="37"/>
      <c r="D597" s="37"/>
      <c r="E597" s="38"/>
    </row>
    <row r="598" spans="1:5" ht="18">
      <c r="A598" s="36"/>
      <c r="C598" s="37"/>
      <c r="D598" s="37"/>
      <c r="E598" s="38"/>
    </row>
    <row r="599" spans="1:5" ht="18">
      <c r="A599" s="36"/>
      <c r="C599" s="37"/>
      <c r="D599" s="37"/>
      <c r="E599" s="38"/>
    </row>
    <row r="600" spans="1:5" ht="18">
      <c r="A600" s="36"/>
      <c r="C600" s="37"/>
      <c r="D600" s="37"/>
      <c r="E600" s="38"/>
    </row>
    <row r="601" spans="1:5" ht="18">
      <c r="A601" s="36"/>
      <c r="C601" s="37"/>
      <c r="D601" s="37"/>
      <c r="E601" s="38"/>
    </row>
    <row r="602" spans="1:5" ht="18">
      <c r="A602" s="36"/>
      <c r="C602" s="37"/>
      <c r="D602" s="37"/>
      <c r="E602" s="38"/>
    </row>
    <row r="603" spans="1:5" ht="18">
      <c r="A603" s="36"/>
      <c r="C603" s="37"/>
      <c r="D603" s="37"/>
      <c r="E603" s="38"/>
    </row>
    <row r="604" spans="1:5" ht="18">
      <c r="A604" s="36"/>
      <c r="C604" s="37"/>
      <c r="D604" s="37"/>
      <c r="E604" s="38"/>
    </row>
    <row r="605" spans="1:5" ht="18">
      <c r="A605" s="36"/>
      <c r="C605" s="37"/>
      <c r="D605" s="37"/>
      <c r="E605" s="38"/>
    </row>
    <row r="606" spans="1:5" ht="18">
      <c r="A606" s="36"/>
      <c r="C606" s="37"/>
      <c r="D606" s="37"/>
      <c r="E606" s="38"/>
    </row>
    <row r="607" spans="1:5" ht="18">
      <c r="A607" s="36"/>
      <c r="C607" s="37"/>
      <c r="D607" s="37"/>
      <c r="E607" s="38"/>
    </row>
    <row r="608" spans="1:5" ht="18">
      <c r="A608" s="36"/>
      <c r="C608" s="37"/>
      <c r="D608" s="37"/>
      <c r="E608" s="38"/>
    </row>
    <row r="609" spans="1:5" ht="18">
      <c r="A609" s="36"/>
      <c r="C609" s="37"/>
      <c r="D609" s="37"/>
      <c r="E609" s="38"/>
    </row>
    <row r="610" spans="1:5" ht="18">
      <c r="A610" s="36"/>
      <c r="C610" s="37"/>
      <c r="D610" s="37"/>
      <c r="E610" s="38"/>
    </row>
    <row r="611" spans="1:5" ht="18">
      <c r="A611" s="36"/>
      <c r="C611" s="37"/>
      <c r="D611" s="37"/>
      <c r="E611" s="38"/>
    </row>
    <row r="612" spans="1:5" ht="18">
      <c r="A612" s="36"/>
      <c r="C612" s="37"/>
      <c r="D612" s="37"/>
      <c r="E612" s="38"/>
    </row>
    <row r="613" spans="1:5" ht="18">
      <c r="A613" s="36"/>
      <c r="C613" s="37"/>
      <c r="D613" s="37"/>
      <c r="E613" s="38"/>
    </row>
    <row r="614" spans="1:5" ht="18">
      <c r="A614" s="36"/>
      <c r="C614" s="37"/>
      <c r="D614" s="37"/>
      <c r="E614" s="38"/>
    </row>
    <row r="615" spans="1:5" ht="18">
      <c r="A615" s="36"/>
      <c r="C615" s="37"/>
      <c r="D615" s="37"/>
      <c r="E615" s="38"/>
    </row>
    <row r="616" spans="1:5" ht="18">
      <c r="A616" s="36"/>
      <c r="C616" s="37"/>
      <c r="D616" s="37"/>
      <c r="E616" s="38"/>
    </row>
    <row r="617" spans="1:5" ht="18">
      <c r="A617" s="36"/>
      <c r="C617" s="37"/>
      <c r="D617" s="37"/>
      <c r="E617" s="38"/>
    </row>
    <row r="618" spans="1:5" ht="18">
      <c r="A618" s="36"/>
      <c r="C618" s="37"/>
      <c r="D618" s="37"/>
      <c r="E618" s="38"/>
    </row>
    <row r="619" spans="1:5" ht="18">
      <c r="A619" s="36"/>
      <c r="C619" s="37"/>
      <c r="D619" s="37"/>
      <c r="E619" s="38"/>
    </row>
    <row r="620" spans="1:5" ht="18">
      <c r="A620" s="36"/>
      <c r="C620" s="37"/>
      <c r="D620" s="37"/>
      <c r="E620" s="38"/>
    </row>
    <row r="621" spans="1:5" ht="18">
      <c r="A621" s="36"/>
      <c r="C621" s="37"/>
      <c r="D621" s="37"/>
      <c r="E621" s="38"/>
    </row>
    <row r="622" spans="1:5" ht="18">
      <c r="A622" s="36"/>
      <c r="C622" s="37"/>
      <c r="D622" s="37"/>
      <c r="E622" s="38"/>
    </row>
    <row r="623" spans="1:5" ht="18">
      <c r="A623" s="36"/>
      <c r="C623" s="37"/>
      <c r="D623" s="37"/>
      <c r="E623" s="38"/>
    </row>
    <row r="624" spans="1:5" ht="18">
      <c r="A624" s="36"/>
      <c r="C624" s="37"/>
      <c r="D624" s="37"/>
      <c r="E624" s="38"/>
    </row>
    <row r="625" spans="1:5" ht="18">
      <c r="A625" s="36"/>
      <c r="C625" s="37"/>
      <c r="D625" s="37"/>
      <c r="E625" s="38"/>
    </row>
    <row r="626" spans="1:5" ht="18">
      <c r="A626" s="36"/>
      <c r="C626" s="37"/>
      <c r="D626" s="37"/>
      <c r="E626" s="38"/>
    </row>
    <row r="627" spans="1:5" ht="18">
      <c r="A627" s="36"/>
      <c r="C627" s="37"/>
      <c r="D627" s="37"/>
      <c r="E627" s="38"/>
    </row>
    <row r="628" spans="1:5" ht="18">
      <c r="A628" s="36"/>
      <c r="C628" s="37"/>
      <c r="D628" s="37"/>
      <c r="E628" s="38"/>
    </row>
    <row r="629" spans="1:5" ht="18">
      <c r="A629" s="36"/>
      <c r="C629" s="37"/>
      <c r="D629" s="37"/>
      <c r="E629" s="38"/>
    </row>
    <row r="630" spans="1:5" ht="18">
      <c r="A630" s="36"/>
      <c r="C630" s="37"/>
      <c r="D630" s="37"/>
      <c r="E630" s="38"/>
    </row>
    <row r="631" spans="1:5" ht="18">
      <c r="A631" s="36"/>
      <c r="C631" s="37"/>
      <c r="D631" s="37"/>
      <c r="E631" s="38"/>
    </row>
    <row r="632" spans="1:5" ht="18">
      <c r="A632" s="36"/>
      <c r="C632" s="37"/>
      <c r="D632" s="37"/>
      <c r="E632" s="38"/>
    </row>
    <row r="633" spans="1:5" ht="18">
      <c r="A633" s="36"/>
      <c r="C633" s="37"/>
      <c r="D633" s="37"/>
      <c r="E633" s="38"/>
    </row>
    <row r="634" spans="1:5" ht="18">
      <c r="A634" s="36"/>
      <c r="C634" s="37"/>
      <c r="D634" s="37"/>
      <c r="E634" s="38"/>
    </row>
    <row r="635" spans="1:5" ht="18">
      <c r="A635" s="36"/>
      <c r="C635" s="37"/>
      <c r="D635" s="37"/>
      <c r="E635" s="38"/>
    </row>
    <row r="636" spans="1:5" ht="18">
      <c r="A636" s="36"/>
      <c r="C636" s="37"/>
      <c r="D636" s="37"/>
      <c r="E636" s="38"/>
    </row>
    <row r="637" spans="1:5" ht="18">
      <c r="A637" s="36"/>
      <c r="C637" s="37"/>
      <c r="D637" s="37"/>
      <c r="E637" s="38"/>
    </row>
    <row r="638" spans="1:5" ht="18">
      <c r="A638" s="36"/>
      <c r="C638" s="37"/>
      <c r="D638" s="37"/>
      <c r="E638" s="38"/>
    </row>
    <row r="639" spans="1:5" ht="18">
      <c r="A639" s="36"/>
      <c r="C639" s="37"/>
      <c r="D639" s="37"/>
      <c r="E639" s="38"/>
    </row>
    <row r="640" spans="1:5" ht="18">
      <c r="A640" s="36"/>
      <c r="C640" s="37"/>
      <c r="D640" s="37"/>
      <c r="E640" s="38"/>
    </row>
    <row r="641" spans="1:5" ht="18">
      <c r="A641" s="36"/>
      <c r="C641" s="37"/>
      <c r="D641" s="37"/>
      <c r="E641" s="38"/>
    </row>
    <row r="642" spans="1:5" ht="18">
      <c r="A642" s="36"/>
      <c r="C642" s="37"/>
      <c r="D642" s="37"/>
      <c r="E642" s="38"/>
    </row>
    <row r="643" spans="1:5" ht="18">
      <c r="A643" s="36"/>
      <c r="C643" s="37"/>
      <c r="D643" s="37"/>
      <c r="E643" s="38"/>
    </row>
    <row r="644" spans="1:5" ht="18">
      <c r="A644" s="36"/>
      <c r="C644" s="37"/>
      <c r="D644" s="37"/>
      <c r="E644" s="38"/>
    </row>
    <row r="645" spans="1:5" ht="18">
      <c r="A645" s="36"/>
      <c r="C645" s="37"/>
      <c r="D645" s="37"/>
      <c r="E645" s="38"/>
    </row>
    <row r="646" spans="1:5" ht="18">
      <c r="A646" s="36"/>
      <c r="C646" s="37"/>
      <c r="D646" s="37"/>
      <c r="E646" s="38"/>
    </row>
    <row r="647" spans="1:5" ht="18">
      <c r="A647" s="36"/>
      <c r="C647" s="37"/>
      <c r="D647" s="37"/>
      <c r="E647" s="38"/>
    </row>
    <row r="648" spans="1:5" ht="18">
      <c r="A648" s="36"/>
      <c r="C648" s="37"/>
      <c r="D648" s="37"/>
      <c r="E648" s="38"/>
    </row>
    <row r="649" spans="1:5" ht="18">
      <c r="A649" s="36"/>
      <c r="C649" s="37"/>
      <c r="D649" s="37"/>
      <c r="E649" s="38"/>
    </row>
    <row r="650" spans="1:5" ht="18">
      <c r="A650" s="36"/>
      <c r="C650" s="37"/>
      <c r="D650" s="37"/>
      <c r="E650" s="38"/>
    </row>
    <row r="651" spans="1:5" ht="18">
      <c r="A651" s="36"/>
      <c r="C651" s="37"/>
      <c r="D651" s="37"/>
      <c r="E651" s="38"/>
    </row>
    <row r="652" spans="1:5" ht="18">
      <c r="A652" s="36"/>
      <c r="C652" s="37"/>
      <c r="D652" s="37"/>
      <c r="E652" s="38"/>
    </row>
    <row r="653" spans="1:5" ht="18">
      <c r="A653" s="36"/>
      <c r="C653" s="37"/>
      <c r="D653" s="37"/>
      <c r="E653" s="38"/>
    </row>
    <row r="654" spans="1:5" ht="18">
      <c r="A654" s="36"/>
      <c r="C654" s="37"/>
      <c r="D654" s="37"/>
      <c r="E654" s="38"/>
    </row>
    <row r="655" spans="1:5" ht="18">
      <c r="A655" s="36"/>
      <c r="C655" s="37"/>
      <c r="D655" s="37"/>
      <c r="E655" s="38"/>
    </row>
    <row r="656" spans="1:5" ht="18">
      <c r="A656" s="36"/>
      <c r="C656" s="37"/>
      <c r="D656" s="37"/>
      <c r="E656" s="38"/>
    </row>
    <row r="657" spans="1:5" ht="18">
      <c r="A657" s="36"/>
      <c r="C657" s="37"/>
      <c r="D657" s="37"/>
      <c r="E657" s="38"/>
    </row>
    <row r="658" spans="1:5" ht="18">
      <c r="A658" s="36"/>
      <c r="C658" s="37"/>
      <c r="D658" s="37"/>
      <c r="E658" s="38"/>
    </row>
    <row r="659" spans="1:5" ht="18">
      <c r="A659" s="36"/>
      <c r="C659" s="37"/>
      <c r="D659" s="37"/>
      <c r="E659" s="38"/>
    </row>
    <row r="660" spans="1:5" ht="18">
      <c r="A660" s="36"/>
      <c r="C660" s="37"/>
      <c r="D660" s="37"/>
      <c r="E660" s="38"/>
    </row>
    <row r="661" spans="1:5" ht="18">
      <c r="A661" s="36"/>
      <c r="C661" s="37"/>
      <c r="D661" s="37"/>
      <c r="E661" s="38"/>
    </row>
    <row r="662" spans="1:5" ht="18">
      <c r="A662" s="36"/>
      <c r="C662" s="37"/>
      <c r="D662" s="37"/>
      <c r="E662" s="38"/>
    </row>
    <row r="663" spans="1:5" ht="18">
      <c r="A663" s="36"/>
      <c r="C663" s="37"/>
      <c r="D663" s="37"/>
      <c r="E663" s="38"/>
    </row>
    <row r="664" spans="1:5" ht="18">
      <c r="A664" s="36"/>
      <c r="C664" s="37"/>
      <c r="D664" s="37"/>
      <c r="E664" s="38"/>
    </row>
    <row r="665" spans="1:5" ht="18">
      <c r="A665" s="36"/>
      <c r="C665" s="37"/>
      <c r="D665" s="37"/>
      <c r="E665" s="38"/>
    </row>
    <row r="666" spans="1:5" ht="18">
      <c r="A666" s="36"/>
      <c r="C666" s="37"/>
      <c r="D666" s="37"/>
      <c r="E666" s="38"/>
    </row>
    <row r="667" spans="1:5" ht="18">
      <c r="A667" s="36"/>
      <c r="C667" s="37"/>
      <c r="D667" s="37"/>
      <c r="E667" s="38"/>
    </row>
    <row r="668" spans="1:5" ht="18">
      <c r="A668" s="36"/>
      <c r="C668" s="37"/>
      <c r="D668" s="37"/>
      <c r="E668" s="38"/>
    </row>
    <row r="669" spans="1:5" ht="18">
      <c r="A669" s="36"/>
      <c r="C669" s="37"/>
      <c r="D669" s="37"/>
      <c r="E669" s="38"/>
    </row>
    <row r="670" spans="1:5" ht="18">
      <c r="A670" s="36"/>
      <c r="C670" s="37"/>
      <c r="D670" s="37"/>
      <c r="E670" s="38"/>
    </row>
    <row r="671" spans="1:5" ht="18">
      <c r="A671" s="36"/>
      <c r="C671" s="37"/>
      <c r="D671" s="37"/>
      <c r="E671" s="38"/>
    </row>
    <row r="672" spans="1:5" ht="18">
      <c r="A672" s="36"/>
      <c r="C672" s="37"/>
      <c r="D672" s="37"/>
      <c r="E672" s="38"/>
    </row>
    <row r="673" spans="1:5" ht="18">
      <c r="A673" s="36"/>
      <c r="C673" s="37"/>
      <c r="D673" s="37"/>
      <c r="E673" s="38"/>
    </row>
    <row r="674" spans="1:5" ht="18">
      <c r="A674" s="36"/>
      <c r="C674" s="37"/>
      <c r="D674" s="37"/>
      <c r="E674" s="38"/>
    </row>
    <row r="675" spans="1:5" ht="18">
      <c r="A675" s="36"/>
      <c r="C675" s="37"/>
      <c r="D675" s="37"/>
      <c r="E675" s="38"/>
    </row>
    <row r="676" spans="1:5" ht="18">
      <c r="A676" s="36"/>
      <c r="C676" s="37"/>
      <c r="D676" s="37"/>
      <c r="E676" s="38"/>
    </row>
    <row r="677" spans="1:5" ht="18">
      <c r="A677" s="36"/>
      <c r="C677" s="37"/>
      <c r="D677" s="37"/>
      <c r="E677" s="38"/>
    </row>
    <row r="678" spans="1:5" ht="18">
      <c r="A678" s="36"/>
      <c r="C678" s="37"/>
      <c r="D678" s="37"/>
      <c r="E678" s="38"/>
    </row>
    <row r="679" spans="1:5" ht="18">
      <c r="A679" s="36"/>
      <c r="C679" s="37"/>
      <c r="D679" s="37"/>
      <c r="E679" s="38"/>
    </row>
    <row r="680" spans="1:5" ht="18">
      <c r="A680" s="36"/>
      <c r="C680" s="37"/>
      <c r="D680" s="37"/>
      <c r="E680" s="38"/>
    </row>
    <row r="681" spans="1:5" ht="18">
      <c r="A681" s="36"/>
      <c r="C681" s="37"/>
      <c r="D681" s="37"/>
      <c r="E681" s="38"/>
    </row>
    <row r="682" spans="1:5" ht="18">
      <c r="A682" s="36"/>
      <c r="C682" s="37"/>
      <c r="D682" s="37"/>
      <c r="E682" s="38"/>
    </row>
    <row r="683" spans="1:5" ht="18">
      <c r="A683" s="36"/>
      <c r="C683" s="37"/>
      <c r="D683" s="37"/>
      <c r="E683" s="38"/>
    </row>
    <row r="684" spans="1:5" ht="18">
      <c r="A684" s="36"/>
      <c r="C684" s="37"/>
      <c r="D684" s="37"/>
      <c r="E684" s="38"/>
    </row>
    <row r="685" spans="1:5" ht="18">
      <c r="A685" s="36"/>
      <c r="C685" s="37"/>
      <c r="D685" s="37"/>
      <c r="E685" s="38"/>
    </row>
    <row r="686" spans="1:5" ht="18">
      <c r="A686" s="36"/>
      <c r="C686" s="37"/>
      <c r="D686" s="37"/>
      <c r="E686" s="38"/>
    </row>
    <row r="687" spans="1:5" ht="18">
      <c r="A687" s="36"/>
      <c r="C687" s="37"/>
      <c r="D687" s="37"/>
      <c r="E687" s="38"/>
    </row>
    <row r="688" spans="1:5" ht="18">
      <c r="A688" s="36"/>
      <c r="C688" s="37"/>
      <c r="D688" s="37"/>
      <c r="E688" s="38"/>
    </row>
    <row r="689" spans="1:5" ht="18">
      <c r="A689" s="36"/>
      <c r="C689" s="37"/>
      <c r="D689" s="37"/>
      <c r="E689" s="38"/>
    </row>
    <row r="690" spans="1:5" ht="18">
      <c r="A690" s="36"/>
      <c r="C690" s="37"/>
      <c r="D690" s="37"/>
      <c r="E690" s="38"/>
    </row>
    <row r="691" spans="1:5" ht="18">
      <c r="A691" s="36"/>
      <c r="C691" s="37"/>
      <c r="D691" s="37"/>
      <c r="E691" s="38"/>
    </row>
    <row r="692" spans="1:5" ht="18">
      <c r="A692" s="36"/>
      <c r="C692" s="37"/>
      <c r="D692" s="37"/>
      <c r="E692" s="38"/>
    </row>
    <row r="693" spans="1:5" ht="18">
      <c r="A693" s="36"/>
      <c r="C693" s="37"/>
      <c r="D693" s="37"/>
      <c r="E693" s="38"/>
    </row>
    <row r="694" spans="1:5" ht="18">
      <c r="A694" s="36"/>
      <c r="C694" s="37"/>
      <c r="D694" s="37"/>
      <c r="E694" s="38"/>
    </row>
    <row r="695" spans="1:5" ht="18">
      <c r="A695" s="36"/>
      <c r="C695" s="37"/>
      <c r="D695" s="37"/>
      <c r="E695" s="38"/>
    </row>
    <row r="696" spans="1:5" ht="18">
      <c r="A696" s="36"/>
      <c r="C696" s="37"/>
      <c r="D696" s="37"/>
      <c r="E696" s="38"/>
    </row>
    <row r="697" spans="1:5" ht="18">
      <c r="A697" s="36"/>
      <c r="C697" s="37"/>
      <c r="D697" s="37"/>
      <c r="E697" s="38"/>
    </row>
    <row r="698" spans="1:5" ht="18">
      <c r="A698" s="36"/>
      <c r="C698" s="37"/>
      <c r="D698" s="37"/>
      <c r="E698" s="38"/>
    </row>
    <row r="699" spans="1:5" ht="18">
      <c r="A699" s="36"/>
      <c r="C699" s="37"/>
      <c r="D699" s="37"/>
      <c r="E699" s="38"/>
    </row>
    <row r="700" spans="1:5" ht="18">
      <c r="A700" s="36"/>
      <c r="C700" s="37"/>
      <c r="D700" s="37"/>
      <c r="E700" s="38"/>
    </row>
    <row r="701" spans="1:5" ht="18">
      <c r="A701" s="36"/>
      <c r="C701" s="37"/>
      <c r="D701" s="37"/>
      <c r="E701" s="38"/>
    </row>
    <row r="702" spans="1:5" ht="18">
      <c r="A702" s="36"/>
      <c r="C702" s="37"/>
      <c r="D702" s="37"/>
      <c r="E702" s="38"/>
    </row>
    <row r="703" spans="1:5" ht="18">
      <c r="A703" s="36"/>
      <c r="C703" s="37"/>
      <c r="D703" s="37"/>
      <c r="E703" s="38"/>
    </row>
    <row r="704" spans="1:5" ht="18">
      <c r="A704" s="36"/>
      <c r="C704" s="37"/>
      <c r="D704" s="37"/>
      <c r="E704" s="38"/>
    </row>
    <row r="705" spans="1:5" ht="18">
      <c r="A705" s="36"/>
      <c r="C705" s="37"/>
      <c r="D705" s="37"/>
      <c r="E705" s="38"/>
    </row>
    <row r="706" spans="1:5" ht="18">
      <c r="A706" s="36"/>
      <c r="C706" s="37"/>
      <c r="D706" s="37"/>
      <c r="E706" s="38"/>
    </row>
    <row r="707" spans="1:5" ht="18">
      <c r="A707" s="36"/>
      <c r="C707" s="37"/>
      <c r="D707" s="37"/>
      <c r="E707" s="38"/>
    </row>
    <row r="708" spans="1:5" ht="18">
      <c r="A708" s="36"/>
      <c r="C708" s="37"/>
      <c r="D708" s="37"/>
      <c r="E708" s="38"/>
    </row>
    <row r="709" spans="1:5" ht="18">
      <c r="A709" s="36"/>
      <c r="C709" s="37"/>
      <c r="D709" s="37"/>
      <c r="E709" s="38"/>
    </row>
    <row r="710" spans="1:5" ht="18">
      <c r="A710" s="36"/>
      <c r="C710" s="37"/>
      <c r="D710" s="37"/>
      <c r="E710" s="38"/>
    </row>
    <row r="711" spans="1:5" ht="18">
      <c r="A711" s="36"/>
      <c r="C711" s="37"/>
      <c r="D711" s="37"/>
      <c r="E711" s="38"/>
    </row>
    <row r="712" spans="1:5" ht="18">
      <c r="A712" s="36"/>
      <c r="C712" s="37"/>
      <c r="D712" s="37"/>
      <c r="E712" s="38"/>
    </row>
    <row r="713" spans="1:5" ht="18">
      <c r="A713" s="36"/>
      <c r="C713" s="37"/>
      <c r="D713" s="37"/>
      <c r="E713" s="38"/>
    </row>
    <row r="714" spans="1:5" ht="18">
      <c r="A714" s="36"/>
      <c r="C714" s="37"/>
      <c r="D714" s="37"/>
      <c r="E714" s="38"/>
    </row>
    <row r="715" spans="1:5" ht="18">
      <c r="A715" s="36"/>
      <c r="C715" s="37"/>
      <c r="D715" s="37"/>
      <c r="E715" s="38"/>
    </row>
    <row r="716" spans="1:5" ht="18">
      <c r="A716" s="36"/>
      <c r="C716" s="37"/>
      <c r="D716" s="37"/>
      <c r="E716" s="38"/>
    </row>
    <row r="717" spans="1:5" ht="18">
      <c r="A717" s="36"/>
      <c r="C717" s="37"/>
      <c r="D717" s="37"/>
      <c r="E717" s="38"/>
    </row>
    <row r="718" spans="1:5" ht="18">
      <c r="A718" s="36"/>
      <c r="C718" s="37"/>
      <c r="D718" s="37"/>
      <c r="E718" s="38"/>
    </row>
    <row r="719" spans="1:5" ht="18">
      <c r="A719" s="36"/>
      <c r="C719" s="37"/>
      <c r="D719" s="37"/>
      <c r="E719" s="38"/>
    </row>
    <row r="720" spans="1:5" ht="18">
      <c r="A720" s="36"/>
      <c r="C720" s="37"/>
      <c r="D720" s="37"/>
      <c r="E720" s="38"/>
    </row>
    <row r="721" spans="1:5" ht="18">
      <c r="A721" s="36"/>
      <c r="C721" s="37"/>
      <c r="D721" s="37"/>
      <c r="E721" s="38"/>
    </row>
    <row r="722" spans="1:5" ht="18">
      <c r="A722" s="36"/>
      <c r="C722" s="37"/>
      <c r="D722" s="37"/>
      <c r="E722" s="38"/>
    </row>
    <row r="723" spans="1:5" ht="18">
      <c r="A723" s="36"/>
      <c r="C723" s="37"/>
      <c r="D723" s="37"/>
      <c r="E723" s="38"/>
    </row>
    <row r="724" spans="1:5" ht="18">
      <c r="A724" s="36"/>
      <c r="C724" s="37"/>
      <c r="D724" s="37"/>
      <c r="E724" s="38"/>
    </row>
    <row r="725" spans="1:5" ht="18">
      <c r="A725" s="36"/>
      <c r="C725" s="37"/>
      <c r="D725" s="37"/>
      <c r="E725" s="38"/>
    </row>
    <row r="726" spans="1:5" ht="18">
      <c r="A726" s="36"/>
      <c r="C726" s="37"/>
      <c r="D726" s="37"/>
      <c r="E726" s="38"/>
    </row>
    <row r="727" spans="1:5" ht="18">
      <c r="A727" s="36"/>
      <c r="C727" s="37"/>
      <c r="D727" s="37"/>
      <c r="E727" s="38"/>
    </row>
    <row r="728" spans="1:5" ht="18">
      <c r="A728" s="36"/>
      <c r="C728" s="37"/>
      <c r="D728" s="37"/>
      <c r="E728" s="38"/>
    </row>
    <row r="729" spans="1:5" ht="18">
      <c r="A729" s="36"/>
      <c r="C729" s="37"/>
      <c r="D729" s="37"/>
      <c r="E729" s="38"/>
    </row>
    <row r="730" spans="1:5" ht="18">
      <c r="A730" s="36"/>
      <c r="C730" s="37"/>
      <c r="D730" s="37"/>
      <c r="E730" s="38"/>
    </row>
    <row r="731" spans="1:5" ht="18">
      <c r="A731" s="36"/>
      <c r="C731" s="37"/>
      <c r="D731" s="37"/>
      <c r="E731" s="38"/>
    </row>
    <row r="732" spans="1:5" ht="18">
      <c r="A732" s="36"/>
      <c r="C732" s="37"/>
      <c r="D732" s="37"/>
      <c r="E732" s="38"/>
    </row>
    <row r="733" spans="1:5" ht="18">
      <c r="A733" s="36"/>
      <c r="C733" s="37"/>
      <c r="D733" s="37"/>
      <c r="E733" s="38"/>
    </row>
    <row r="734" spans="1:5" ht="18">
      <c r="A734" s="36"/>
      <c r="C734" s="37"/>
      <c r="D734" s="37"/>
      <c r="E734" s="38"/>
    </row>
    <row r="735" spans="1:5" ht="18">
      <c r="A735" s="36"/>
      <c r="C735" s="37"/>
      <c r="D735" s="37"/>
      <c r="E735" s="38"/>
    </row>
    <row r="736" spans="1:5" ht="18">
      <c r="A736" s="36"/>
      <c r="C736" s="37"/>
      <c r="D736" s="37"/>
      <c r="E736" s="38"/>
    </row>
    <row r="737" spans="1:5" ht="18">
      <c r="A737" s="36"/>
      <c r="C737" s="37"/>
      <c r="D737" s="37"/>
      <c r="E737" s="38"/>
    </row>
    <row r="738" spans="1:5" ht="18">
      <c r="A738" s="36"/>
      <c r="C738" s="37"/>
      <c r="D738" s="37"/>
      <c r="E738" s="38"/>
    </row>
    <row r="739" spans="1:5" ht="18">
      <c r="A739" s="36"/>
      <c r="C739" s="37"/>
      <c r="D739" s="37"/>
      <c r="E739" s="38"/>
    </row>
    <row r="740" spans="1:5" ht="18">
      <c r="A740" s="36"/>
      <c r="C740" s="37"/>
      <c r="D740" s="37"/>
      <c r="E740" s="38"/>
    </row>
    <row r="741" spans="1:5" ht="18">
      <c r="A741" s="36"/>
      <c r="C741" s="37"/>
      <c r="D741" s="37"/>
      <c r="E741" s="38"/>
    </row>
    <row r="742" spans="1:5" ht="18">
      <c r="A742" s="36"/>
      <c r="C742" s="37"/>
      <c r="D742" s="37"/>
      <c r="E742" s="38"/>
    </row>
    <row r="743" spans="1:5" ht="18">
      <c r="A743" s="36"/>
      <c r="C743" s="37"/>
      <c r="D743" s="37"/>
      <c r="E743" s="38"/>
    </row>
    <row r="744" spans="1:5" ht="18">
      <c r="A744" s="36"/>
      <c r="C744" s="37"/>
      <c r="D744" s="37"/>
      <c r="E744" s="38"/>
    </row>
    <row r="745" spans="1:5" ht="18">
      <c r="A745" s="36"/>
      <c r="C745" s="37"/>
      <c r="D745" s="37"/>
      <c r="E745" s="38"/>
    </row>
    <row r="746" spans="1:5" ht="18">
      <c r="A746" s="36"/>
      <c r="C746" s="37"/>
      <c r="D746" s="37"/>
      <c r="E746" s="38"/>
    </row>
    <row r="747" spans="1:5" ht="18">
      <c r="A747" s="36"/>
      <c r="C747" s="37"/>
      <c r="D747" s="37"/>
      <c r="E747" s="38"/>
    </row>
    <row r="748" spans="1:5" ht="18">
      <c r="A748" s="36"/>
      <c r="C748" s="37"/>
      <c r="D748" s="37"/>
      <c r="E748" s="38"/>
    </row>
    <row r="749" spans="1:5" ht="18">
      <c r="A749" s="36"/>
      <c r="C749" s="37"/>
      <c r="D749" s="37"/>
      <c r="E749" s="38"/>
    </row>
    <row r="750" spans="1:5" ht="18">
      <c r="A750" s="36"/>
      <c r="C750" s="37"/>
      <c r="D750" s="37"/>
      <c r="E750" s="38"/>
    </row>
    <row r="751" spans="1:5" ht="18">
      <c r="A751" s="36"/>
      <c r="C751" s="37"/>
      <c r="D751" s="37"/>
      <c r="E751" s="38"/>
    </row>
    <row r="752" spans="1:5" ht="18">
      <c r="A752" s="36"/>
      <c r="C752" s="37"/>
      <c r="D752" s="37"/>
      <c r="E752" s="38"/>
    </row>
    <row r="753" spans="1:5" ht="18">
      <c r="A753" s="36"/>
      <c r="C753" s="37"/>
      <c r="D753" s="37"/>
      <c r="E753" s="38"/>
    </row>
    <row r="754" spans="1:5" ht="18">
      <c r="A754" s="36"/>
      <c r="C754" s="37"/>
      <c r="D754" s="37"/>
      <c r="E754" s="38"/>
    </row>
    <row r="755" spans="1:5" ht="18">
      <c r="A755" s="36"/>
      <c r="C755" s="37"/>
      <c r="D755" s="37"/>
      <c r="E755" s="38"/>
    </row>
    <row r="756" spans="1:5" ht="18">
      <c r="A756" s="36"/>
      <c r="C756" s="37"/>
      <c r="D756" s="37"/>
      <c r="E756" s="38"/>
    </row>
    <row r="757" spans="1:5" ht="18">
      <c r="A757" s="36"/>
      <c r="C757" s="37"/>
      <c r="D757" s="37"/>
      <c r="E757" s="38"/>
    </row>
    <row r="758" spans="1:5" ht="18">
      <c r="A758" s="36"/>
      <c r="C758" s="37"/>
      <c r="D758" s="37"/>
      <c r="E758" s="38"/>
    </row>
    <row r="759" spans="1:5" ht="18">
      <c r="A759" s="36"/>
      <c r="C759" s="37"/>
      <c r="D759" s="37"/>
      <c r="E759" s="38"/>
    </row>
    <row r="760" spans="1:5" ht="18">
      <c r="A760" s="36"/>
      <c r="C760" s="37"/>
      <c r="D760" s="37"/>
      <c r="E760" s="38"/>
    </row>
    <row r="761" spans="1:5" ht="18">
      <c r="A761" s="36"/>
      <c r="C761" s="37"/>
      <c r="D761" s="37"/>
      <c r="E761" s="38"/>
    </row>
    <row r="762" spans="1:5" ht="18">
      <c r="A762" s="36"/>
      <c r="C762" s="37"/>
      <c r="D762" s="37"/>
      <c r="E762" s="38"/>
    </row>
    <row r="763" spans="1:5" ht="18">
      <c r="A763" s="36"/>
      <c r="C763" s="37"/>
      <c r="D763" s="37"/>
      <c r="E763" s="38"/>
    </row>
    <row r="764" spans="1:5" ht="18">
      <c r="A764" s="36"/>
      <c r="C764" s="37"/>
      <c r="D764" s="37"/>
      <c r="E764" s="38"/>
    </row>
    <row r="765" spans="1:5" ht="18">
      <c r="A765" s="36"/>
      <c r="C765" s="37"/>
      <c r="D765" s="37"/>
      <c r="E765" s="38"/>
    </row>
    <row r="766" spans="1:5" ht="18">
      <c r="A766" s="36"/>
      <c r="C766" s="37"/>
      <c r="D766" s="37"/>
      <c r="E766" s="38"/>
    </row>
    <row r="767" spans="1:5" ht="18">
      <c r="A767" s="36"/>
      <c r="C767" s="37"/>
      <c r="D767" s="37"/>
      <c r="E767" s="38"/>
    </row>
    <row r="768" spans="1:5" ht="18">
      <c r="A768" s="36"/>
      <c r="C768" s="37"/>
      <c r="D768" s="37"/>
      <c r="E768" s="38"/>
    </row>
    <row r="769" spans="1:5" ht="18">
      <c r="A769" s="36"/>
      <c r="C769" s="37"/>
      <c r="D769" s="37"/>
      <c r="E769" s="38"/>
    </row>
    <row r="770" spans="1:5" ht="18">
      <c r="A770" s="36"/>
      <c r="C770" s="37"/>
      <c r="D770" s="37"/>
      <c r="E770" s="38"/>
    </row>
    <row r="771" spans="1:5" ht="18">
      <c r="A771" s="36"/>
      <c r="C771" s="37"/>
      <c r="D771" s="37"/>
      <c r="E771" s="38"/>
    </row>
    <row r="772" spans="1:5" ht="18">
      <c r="A772" s="36"/>
      <c r="C772" s="37"/>
      <c r="D772" s="37"/>
      <c r="E772" s="38"/>
    </row>
    <row r="773" spans="1:5" ht="18">
      <c r="A773" s="36"/>
      <c r="C773" s="37"/>
      <c r="D773" s="37"/>
      <c r="E773" s="38"/>
    </row>
    <row r="774" spans="1:5" ht="18">
      <c r="A774" s="36"/>
      <c r="C774" s="37"/>
      <c r="D774" s="37"/>
      <c r="E774" s="38"/>
    </row>
    <row r="775" spans="1:5" ht="18">
      <c r="A775" s="36"/>
      <c r="C775" s="37"/>
      <c r="D775" s="37"/>
      <c r="E775" s="38"/>
    </row>
    <row r="776" spans="1:5" ht="18">
      <c r="A776" s="36"/>
      <c r="C776" s="37"/>
      <c r="D776" s="37"/>
      <c r="E776" s="38"/>
    </row>
    <row r="777" spans="1:5" ht="18">
      <c r="A777" s="36"/>
      <c r="C777" s="37"/>
      <c r="D777" s="37"/>
      <c r="E777" s="38"/>
    </row>
    <row r="778" spans="1:5" ht="18">
      <c r="A778" s="36"/>
      <c r="C778" s="37"/>
      <c r="D778" s="37"/>
      <c r="E778" s="38"/>
    </row>
    <row r="779" spans="1:5" ht="18">
      <c r="A779" s="36"/>
      <c r="C779" s="37"/>
      <c r="D779" s="37"/>
      <c r="E779" s="38"/>
    </row>
    <row r="780" spans="1:5" ht="18">
      <c r="A780" s="36"/>
      <c r="C780" s="37"/>
      <c r="D780" s="37"/>
      <c r="E780" s="38"/>
    </row>
    <row r="781" spans="1:5" ht="18">
      <c r="A781" s="36"/>
      <c r="C781" s="37"/>
      <c r="D781" s="37"/>
      <c r="E781" s="38"/>
    </row>
    <row r="782" spans="1:5" ht="18">
      <c r="A782" s="36"/>
      <c r="C782" s="37"/>
      <c r="D782" s="37"/>
      <c r="E782" s="38"/>
    </row>
    <row r="783" spans="1:5" ht="18">
      <c r="A783" s="36"/>
      <c r="C783" s="37"/>
      <c r="D783" s="37"/>
      <c r="E783" s="38"/>
    </row>
    <row r="784" spans="1:5" ht="18">
      <c r="A784" s="36"/>
      <c r="C784" s="37"/>
      <c r="D784" s="37"/>
      <c r="E784" s="38"/>
    </row>
    <row r="785" spans="1:5" ht="18">
      <c r="A785" s="36"/>
      <c r="C785" s="37"/>
      <c r="D785" s="37"/>
      <c r="E785" s="38"/>
    </row>
    <row r="786" spans="1:5" ht="18">
      <c r="A786" s="36"/>
      <c r="C786" s="37"/>
      <c r="D786" s="37"/>
      <c r="E786" s="38"/>
    </row>
    <row r="787" spans="1:5" ht="18">
      <c r="A787" s="36"/>
      <c r="C787" s="37"/>
      <c r="D787" s="37"/>
      <c r="E787" s="38"/>
    </row>
    <row r="788" spans="1:5" ht="18">
      <c r="A788" s="36"/>
      <c r="C788" s="37"/>
      <c r="D788" s="37"/>
      <c r="E788" s="38"/>
    </row>
    <row r="789" spans="1:5" ht="18">
      <c r="A789" s="36"/>
      <c r="C789" s="37"/>
      <c r="D789" s="37"/>
      <c r="E789" s="38"/>
    </row>
    <row r="790" spans="1:5" ht="18">
      <c r="A790" s="36"/>
      <c r="C790" s="37"/>
      <c r="D790" s="37"/>
      <c r="E790" s="38"/>
    </row>
    <row r="791" spans="1:5" ht="18">
      <c r="A791" s="36"/>
      <c r="C791" s="37"/>
      <c r="D791" s="37"/>
      <c r="E791" s="38"/>
    </row>
    <row r="792" spans="1:5" ht="18">
      <c r="A792" s="36"/>
      <c r="C792" s="37"/>
      <c r="D792" s="37"/>
      <c r="E792" s="38"/>
    </row>
    <row r="793" spans="1:5" ht="18">
      <c r="A793" s="36"/>
      <c r="C793" s="37"/>
      <c r="D793" s="37"/>
      <c r="E793" s="38"/>
    </row>
    <row r="794" spans="1:5" ht="18">
      <c r="A794" s="36"/>
      <c r="C794" s="37"/>
      <c r="D794" s="37"/>
      <c r="E794" s="38"/>
    </row>
    <row r="795" spans="1:5" ht="18">
      <c r="A795" s="36"/>
      <c r="C795" s="37"/>
      <c r="D795" s="37"/>
      <c r="E795" s="38"/>
    </row>
    <row r="796" spans="1:5" ht="18">
      <c r="A796" s="36"/>
      <c r="C796" s="37"/>
      <c r="D796" s="37"/>
      <c r="E796" s="38"/>
    </row>
    <row r="797" spans="1:5" ht="18">
      <c r="A797" s="36"/>
      <c r="C797" s="37"/>
      <c r="D797" s="37"/>
      <c r="E797" s="38"/>
    </row>
    <row r="798" spans="1:5" ht="18">
      <c r="A798" s="36"/>
      <c r="C798" s="37"/>
      <c r="D798" s="37"/>
      <c r="E798" s="38"/>
    </row>
    <row r="799" spans="1:5" ht="18">
      <c r="A799" s="36"/>
      <c r="C799" s="37"/>
      <c r="D799" s="37"/>
      <c r="E799" s="38"/>
    </row>
    <row r="800" spans="1:5" ht="18">
      <c r="A800" s="36"/>
      <c r="C800" s="37"/>
      <c r="D800" s="37"/>
      <c r="E800" s="38"/>
    </row>
    <row r="801" spans="1:5" ht="18">
      <c r="A801" s="36"/>
      <c r="C801" s="37"/>
      <c r="D801" s="37"/>
      <c r="E801" s="38"/>
    </row>
    <row r="802" spans="1:5" ht="18">
      <c r="A802" s="36"/>
      <c r="C802" s="37"/>
      <c r="D802" s="37"/>
      <c r="E802" s="38"/>
    </row>
    <row r="803" spans="1:5" ht="18">
      <c r="A803" s="36"/>
      <c r="C803" s="37"/>
      <c r="D803" s="37"/>
      <c r="E803" s="38"/>
    </row>
    <row r="804" spans="1:5" ht="18">
      <c r="A804" s="36"/>
      <c r="C804" s="37"/>
      <c r="D804" s="37"/>
      <c r="E804" s="38"/>
    </row>
    <row r="805" spans="1:5" ht="18">
      <c r="A805" s="36"/>
      <c r="C805" s="37"/>
      <c r="D805" s="37"/>
      <c r="E805" s="38"/>
    </row>
    <row r="806" spans="1:5" ht="18">
      <c r="A806" s="36"/>
      <c r="C806" s="37"/>
      <c r="D806" s="37"/>
      <c r="E806" s="38"/>
    </row>
    <row r="807" spans="1:5" ht="18">
      <c r="A807" s="36"/>
      <c r="C807" s="37"/>
      <c r="D807" s="37"/>
      <c r="E807" s="38"/>
    </row>
    <row r="808" spans="1:5" ht="18">
      <c r="A808" s="36"/>
      <c r="C808" s="37"/>
      <c r="D808" s="37"/>
      <c r="E808" s="38"/>
    </row>
    <row r="809" spans="1:5" ht="18">
      <c r="A809" s="36"/>
      <c r="C809" s="37"/>
      <c r="D809" s="37"/>
      <c r="E809" s="38"/>
    </row>
    <row r="810" spans="1:5" ht="18">
      <c r="A810" s="36"/>
      <c r="C810" s="37"/>
      <c r="D810" s="37"/>
      <c r="E810" s="38"/>
    </row>
    <row r="811" spans="1:5" ht="18">
      <c r="A811" s="36"/>
      <c r="C811" s="37"/>
      <c r="D811" s="37"/>
      <c r="E811" s="38"/>
    </row>
    <row r="812" spans="1:5" ht="18">
      <c r="A812" s="36"/>
      <c r="C812" s="37"/>
      <c r="D812" s="37"/>
      <c r="E812" s="38"/>
    </row>
    <row r="813" spans="1:5" ht="18">
      <c r="A813" s="36"/>
      <c r="C813" s="37"/>
      <c r="D813" s="37"/>
      <c r="E813" s="38"/>
    </row>
    <row r="814" spans="1:5" ht="18">
      <c r="A814" s="36"/>
      <c r="C814" s="37"/>
      <c r="D814" s="37"/>
      <c r="E814" s="38"/>
    </row>
    <row r="815" spans="1:5" ht="18">
      <c r="A815" s="36"/>
      <c r="C815" s="37"/>
      <c r="D815" s="37"/>
      <c r="E815" s="38"/>
    </row>
    <row r="816" spans="1:5" ht="18">
      <c r="A816" s="36"/>
      <c r="C816" s="37"/>
      <c r="D816" s="37"/>
      <c r="E816" s="38"/>
    </row>
    <row r="817" spans="1:5" ht="18">
      <c r="A817" s="36"/>
      <c r="C817" s="37"/>
      <c r="D817" s="37"/>
      <c r="E817" s="38"/>
    </row>
    <row r="818" spans="1:5" ht="18">
      <c r="A818" s="36"/>
      <c r="C818" s="37"/>
      <c r="D818" s="37"/>
      <c r="E818" s="38"/>
    </row>
    <row r="819" spans="1:5" ht="18">
      <c r="A819" s="36"/>
      <c r="C819" s="37"/>
      <c r="D819" s="37"/>
      <c r="E819" s="38"/>
    </row>
    <row r="820" spans="1:5" ht="18">
      <c r="A820" s="36"/>
      <c r="C820" s="37"/>
      <c r="D820" s="37"/>
      <c r="E820" s="38"/>
    </row>
    <row r="821" spans="1:5" ht="18">
      <c r="A821" s="36"/>
      <c r="C821" s="37"/>
      <c r="D821" s="37"/>
      <c r="E821" s="38"/>
    </row>
    <row r="822" spans="1:5" ht="18">
      <c r="A822" s="36"/>
      <c r="C822" s="37"/>
      <c r="D822" s="37"/>
      <c r="E822" s="38"/>
    </row>
    <row r="823" spans="1:5" ht="18">
      <c r="A823" s="36"/>
      <c r="C823" s="37"/>
      <c r="D823" s="37"/>
      <c r="E823" s="38"/>
    </row>
    <row r="824" spans="1:5" ht="18">
      <c r="A824" s="36"/>
      <c r="C824" s="37"/>
      <c r="D824" s="37"/>
      <c r="E824" s="38"/>
    </row>
    <row r="825" spans="1:5" ht="18">
      <c r="A825" s="36"/>
      <c r="C825" s="37"/>
      <c r="D825" s="37"/>
      <c r="E825" s="38"/>
    </row>
    <row r="826" spans="1:5" ht="18">
      <c r="A826" s="36"/>
      <c r="C826" s="37"/>
      <c r="D826" s="37"/>
      <c r="E826" s="38"/>
    </row>
    <row r="827" spans="1:5" ht="18">
      <c r="A827" s="36"/>
      <c r="C827" s="37"/>
      <c r="D827" s="37"/>
      <c r="E827" s="38"/>
    </row>
    <row r="828" spans="1:5" ht="18">
      <c r="A828" s="36"/>
      <c r="C828" s="37"/>
      <c r="D828" s="37"/>
      <c r="E828" s="38"/>
    </row>
    <row r="829" spans="1:5" ht="18">
      <c r="A829" s="36"/>
      <c r="C829" s="37"/>
      <c r="D829" s="37"/>
      <c r="E829" s="38"/>
    </row>
    <row r="830" spans="1:5" ht="18">
      <c r="A830" s="36"/>
      <c r="C830" s="37"/>
      <c r="D830" s="37"/>
      <c r="E830" s="38"/>
    </row>
    <row r="831" spans="1:5" ht="18">
      <c r="A831" s="36"/>
      <c r="C831" s="37"/>
      <c r="D831" s="37"/>
      <c r="E831" s="38"/>
    </row>
    <row r="832" spans="1:5" ht="18">
      <c r="A832" s="36"/>
      <c r="C832" s="37"/>
      <c r="D832" s="37"/>
      <c r="E832" s="38"/>
    </row>
    <row r="833" spans="1:5" ht="18">
      <c r="A833" s="36"/>
      <c r="C833" s="37"/>
      <c r="D833" s="37"/>
      <c r="E833" s="38"/>
    </row>
    <row r="834" spans="1:5" ht="18">
      <c r="A834" s="36"/>
      <c r="C834" s="37"/>
      <c r="D834" s="37"/>
      <c r="E834" s="38"/>
    </row>
    <row r="835" spans="1:5" ht="18">
      <c r="A835" s="36"/>
      <c r="C835" s="37"/>
      <c r="D835" s="37"/>
      <c r="E835" s="38"/>
    </row>
    <row r="836" spans="1:5" ht="18">
      <c r="A836" s="36"/>
      <c r="C836" s="37"/>
      <c r="D836" s="37"/>
      <c r="E836" s="38"/>
    </row>
    <row r="837" spans="1:5" ht="18">
      <c r="A837" s="36"/>
      <c r="C837" s="37"/>
      <c r="D837" s="37"/>
      <c r="E837" s="38"/>
    </row>
    <row r="838" spans="1:5" ht="18">
      <c r="A838" s="36"/>
      <c r="C838" s="37"/>
      <c r="D838" s="37"/>
      <c r="E838" s="38"/>
    </row>
    <row r="839" spans="1:5" ht="18">
      <c r="A839" s="36"/>
      <c r="C839" s="37"/>
      <c r="D839" s="37"/>
      <c r="E839" s="38"/>
    </row>
    <row r="840" spans="1:5" ht="18">
      <c r="A840" s="36"/>
      <c r="C840" s="37"/>
      <c r="D840" s="37"/>
      <c r="E840" s="38"/>
    </row>
    <row r="841" spans="1:5" ht="18">
      <c r="A841" s="36"/>
      <c r="C841" s="37"/>
      <c r="D841" s="37"/>
      <c r="E841" s="38"/>
    </row>
    <row r="842" spans="1:5" ht="18">
      <c r="A842" s="36"/>
      <c r="C842" s="37"/>
      <c r="D842" s="37"/>
      <c r="E842" s="38"/>
    </row>
    <row r="843" spans="1:5" ht="18">
      <c r="A843" s="36"/>
      <c r="C843" s="37"/>
      <c r="D843" s="37"/>
      <c r="E843" s="38"/>
    </row>
    <row r="844" spans="1:5" ht="18">
      <c r="A844" s="36"/>
      <c r="C844" s="37"/>
      <c r="D844" s="37"/>
      <c r="E844" s="38"/>
    </row>
    <row r="845" spans="1:5" ht="18">
      <c r="A845" s="36"/>
      <c r="C845" s="37"/>
      <c r="D845" s="37"/>
      <c r="E845" s="38"/>
    </row>
    <row r="846" spans="1:5" ht="18">
      <c r="A846" s="36"/>
      <c r="C846" s="37"/>
      <c r="D846" s="37"/>
      <c r="E846" s="38"/>
    </row>
    <row r="847" spans="1:5" ht="18">
      <c r="A847" s="36"/>
      <c r="C847" s="37"/>
      <c r="D847" s="37"/>
      <c r="E847" s="38"/>
    </row>
    <row r="848" spans="1:5" ht="18">
      <c r="A848" s="36"/>
      <c r="C848" s="37"/>
      <c r="D848" s="37"/>
      <c r="E848" s="38"/>
    </row>
    <row r="849" spans="1:5" ht="18">
      <c r="A849" s="36"/>
      <c r="C849" s="37"/>
      <c r="D849" s="37"/>
      <c r="E849" s="38"/>
    </row>
    <row r="850" spans="1:5" ht="18">
      <c r="A850" s="36"/>
      <c r="C850" s="37"/>
      <c r="D850" s="37"/>
      <c r="E850" s="38"/>
    </row>
    <row r="851" spans="1:5" ht="18">
      <c r="A851" s="36"/>
      <c r="C851" s="37"/>
      <c r="D851" s="37"/>
      <c r="E851" s="38"/>
    </row>
    <row r="852" spans="1:5" ht="18">
      <c r="A852" s="36"/>
      <c r="C852" s="37"/>
      <c r="D852" s="37"/>
      <c r="E852" s="38"/>
    </row>
    <row r="853" spans="1:5" ht="18">
      <c r="A853" s="36"/>
      <c r="C853" s="37"/>
      <c r="D853" s="37"/>
      <c r="E853" s="38"/>
    </row>
    <row r="854" spans="1:5" ht="18">
      <c r="A854" s="36"/>
      <c r="C854" s="37"/>
      <c r="D854" s="37"/>
      <c r="E854" s="38"/>
    </row>
    <row r="855" spans="1:5" ht="18">
      <c r="A855" s="36"/>
      <c r="C855" s="37"/>
      <c r="D855" s="37"/>
      <c r="E855" s="38"/>
    </row>
    <row r="856" spans="1:5" ht="18">
      <c r="A856" s="36"/>
      <c r="C856" s="37"/>
      <c r="D856" s="37"/>
      <c r="E856" s="38"/>
    </row>
    <row r="857" spans="1:5" ht="18">
      <c r="A857" s="36"/>
      <c r="C857" s="37"/>
      <c r="D857" s="37"/>
      <c r="E857" s="38"/>
    </row>
    <row r="858" spans="1:5" ht="18">
      <c r="A858" s="36"/>
      <c r="C858" s="37"/>
      <c r="D858" s="37"/>
      <c r="E858" s="38"/>
    </row>
    <row r="859" spans="1:5" ht="18">
      <c r="A859" s="36"/>
      <c r="C859" s="37"/>
      <c r="D859" s="37"/>
      <c r="E859" s="38"/>
    </row>
    <row r="860" spans="1:5" ht="18">
      <c r="A860" s="36"/>
      <c r="C860" s="37"/>
      <c r="D860" s="37"/>
      <c r="E860" s="38"/>
    </row>
    <row r="861" spans="1:5" ht="18">
      <c r="A861" s="36"/>
      <c r="C861" s="37"/>
      <c r="D861" s="37"/>
      <c r="E861" s="38"/>
    </row>
    <row r="862" spans="1:5" ht="18">
      <c r="A862" s="36"/>
      <c r="C862" s="37"/>
      <c r="D862" s="37"/>
      <c r="E862" s="38"/>
    </row>
    <row r="863" spans="1:5" ht="18">
      <c r="A863" s="36"/>
      <c r="C863" s="37"/>
      <c r="D863" s="37"/>
      <c r="E863" s="38"/>
    </row>
    <row r="864" spans="1:5" ht="18">
      <c r="A864" s="36"/>
      <c r="C864" s="37"/>
      <c r="D864" s="37"/>
      <c r="E864" s="38"/>
    </row>
    <row r="865" spans="1:5" ht="18">
      <c r="A865" s="36"/>
      <c r="C865" s="37"/>
      <c r="D865" s="37"/>
      <c r="E865" s="38"/>
    </row>
    <row r="866" spans="1:5" ht="18">
      <c r="A866" s="36"/>
      <c r="C866" s="37"/>
      <c r="D866" s="37"/>
      <c r="E866" s="38"/>
    </row>
    <row r="867" spans="1:5" ht="18">
      <c r="A867" s="36"/>
      <c r="C867" s="37"/>
      <c r="D867" s="37"/>
      <c r="E867" s="38"/>
    </row>
    <row r="868" spans="1:5" ht="18">
      <c r="A868" s="36"/>
      <c r="C868" s="37"/>
      <c r="D868" s="37"/>
      <c r="E868" s="38"/>
    </row>
    <row r="869" spans="1:5" ht="18">
      <c r="A869" s="36"/>
      <c r="C869" s="37"/>
      <c r="D869" s="37"/>
      <c r="E869" s="38"/>
    </row>
    <row r="870" spans="1:5" ht="18">
      <c r="A870" s="36"/>
      <c r="C870" s="37"/>
      <c r="D870" s="37"/>
      <c r="E870" s="38"/>
    </row>
    <row r="871" spans="1:5" ht="18">
      <c r="A871" s="36"/>
      <c r="C871" s="37"/>
      <c r="D871" s="37"/>
      <c r="E871" s="38"/>
    </row>
    <row r="872" spans="1:5" ht="18">
      <c r="A872" s="36"/>
      <c r="C872" s="37"/>
      <c r="D872" s="37"/>
      <c r="E872" s="38"/>
    </row>
    <row r="873" spans="1:5" ht="18">
      <c r="A873" s="36"/>
      <c r="C873" s="37"/>
      <c r="D873" s="37"/>
      <c r="E873" s="38"/>
    </row>
    <row r="874" spans="1:5" ht="18">
      <c r="A874" s="36"/>
      <c r="C874" s="37"/>
      <c r="D874" s="37"/>
      <c r="E874" s="38"/>
    </row>
    <row r="875" spans="1:5" ht="18">
      <c r="A875" s="36"/>
      <c r="C875" s="37"/>
      <c r="D875" s="37"/>
      <c r="E875" s="38"/>
    </row>
    <row r="876" spans="1:5" ht="18">
      <c r="A876" s="36"/>
      <c r="C876" s="37"/>
      <c r="D876" s="37"/>
      <c r="E876" s="38"/>
    </row>
    <row r="877" spans="1:5" ht="18">
      <c r="A877" s="36"/>
      <c r="C877" s="37"/>
      <c r="D877" s="37"/>
      <c r="E877" s="38"/>
    </row>
    <row r="878" spans="1:5" ht="18">
      <c r="A878" s="36"/>
      <c r="C878" s="37"/>
      <c r="D878" s="37"/>
      <c r="E878" s="38"/>
    </row>
    <row r="879" spans="1:5" ht="18">
      <c r="A879" s="36"/>
      <c r="C879" s="37"/>
      <c r="D879" s="37"/>
      <c r="E879" s="38"/>
    </row>
    <row r="880" spans="1:5" ht="18">
      <c r="A880" s="36"/>
      <c r="C880" s="37"/>
      <c r="D880" s="37"/>
      <c r="E880" s="38"/>
    </row>
    <row r="881" spans="1:5" ht="18">
      <c r="A881" s="36"/>
      <c r="C881" s="37"/>
      <c r="D881" s="37"/>
      <c r="E881" s="38"/>
    </row>
    <row r="882" spans="1:5" ht="18">
      <c r="A882" s="36"/>
      <c r="C882" s="37"/>
      <c r="D882" s="37"/>
      <c r="E882" s="38"/>
    </row>
    <row r="883" spans="1:5" ht="18">
      <c r="A883" s="36"/>
      <c r="C883" s="37"/>
      <c r="D883" s="37"/>
      <c r="E883" s="38"/>
    </row>
    <row r="884" spans="1:5" ht="18">
      <c r="A884" s="36"/>
      <c r="C884" s="37"/>
      <c r="D884" s="37"/>
      <c r="E884" s="38"/>
    </row>
    <row r="885" spans="1:5" ht="18">
      <c r="A885" s="36"/>
      <c r="C885" s="37"/>
      <c r="D885" s="37"/>
      <c r="E885" s="38"/>
    </row>
    <row r="886" spans="1:5" ht="18">
      <c r="A886" s="36"/>
      <c r="C886" s="37"/>
      <c r="D886" s="37"/>
      <c r="E886" s="38"/>
    </row>
    <row r="887" spans="1:5" ht="18">
      <c r="A887" s="36"/>
      <c r="C887" s="37"/>
      <c r="D887" s="37"/>
      <c r="E887" s="38"/>
    </row>
    <row r="888" spans="1:5" ht="18">
      <c r="A888" s="36"/>
      <c r="C888" s="37"/>
      <c r="D888" s="37"/>
      <c r="E888" s="38"/>
    </row>
    <row r="889" spans="1:5" ht="18">
      <c r="A889" s="36"/>
      <c r="C889" s="37"/>
      <c r="D889" s="37"/>
      <c r="E889" s="38"/>
    </row>
    <row r="890" spans="1:5" ht="18">
      <c r="A890" s="36"/>
      <c r="C890" s="37"/>
      <c r="D890" s="37"/>
      <c r="E890" s="38"/>
    </row>
    <row r="891" spans="1:5" ht="18">
      <c r="A891" s="36"/>
      <c r="C891" s="37"/>
      <c r="D891" s="37"/>
      <c r="E891" s="38"/>
    </row>
    <row r="892" spans="1:5" ht="18">
      <c r="A892" s="36"/>
      <c r="C892" s="37"/>
      <c r="D892" s="37"/>
      <c r="E892" s="38"/>
    </row>
    <row r="893" spans="1:5" ht="18">
      <c r="A893" s="36"/>
      <c r="C893" s="37"/>
      <c r="D893" s="37"/>
      <c r="E893" s="38"/>
    </row>
    <row r="894" spans="1:5" ht="18">
      <c r="A894" s="36"/>
      <c r="C894" s="37"/>
      <c r="D894" s="37"/>
      <c r="E894" s="38"/>
    </row>
    <row r="895" spans="1:5" ht="18">
      <c r="A895" s="36"/>
      <c r="C895" s="37"/>
      <c r="D895" s="37"/>
      <c r="E895" s="38"/>
    </row>
    <row r="896" spans="1:5" ht="18">
      <c r="A896" s="36"/>
      <c r="C896" s="37"/>
      <c r="D896" s="37"/>
      <c r="E896" s="38"/>
    </row>
    <row r="897" spans="1:5" ht="18">
      <c r="A897" s="36"/>
      <c r="C897" s="37"/>
      <c r="D897" s="37"/>
      <c r="E897" s="38"/>
    </row>
    <row r="898" spans="1:5" ht="18">
      <c r="A898" s="36"/>
      <c r="C898" s="37"/>
      <c r="D898" s="37"/>
      <c r="E898" s="38"/>
    </row>
    <row r="899" spans="1:5" ht="18">
      <c r="A899" s="36"/>
      <c r="C899" s="37"/>
      <c r="D899" s="37"/>
      <c r="E899" s="38"/>
    </row>
    <row r="900" spans="1:5" ht="18">
      <c r="A900" s="36"/>
      <c r="C900" s="37"/>
      <c r="D900" s="37"/>
      <c r="E900" s="38"/>
    </row>
    <row r="901" spans="1:5" ht="18">
      <c r="A901" s="36"/>
      <c r="C901" s="37"/>
      <c r="D901" s="37"/>
      <c r="E901" s="38"/>
    </row>
    <row r="902" spans="1:5" ht="18">
      <c r="A902" s="36"/>
      <c r="C902" s="37"/>
      <c r="D902" s="37"/>
      <c r="E902" s="38"/>
    </row>
    <row r="903" spans="1:5" ht="18">
      <c r="A903" s="36"/>
      <c r="C903" s="37"/>
      <c r="D903" s="37"/>
      <c r="E903" s="38"/>
    </row>
    <row r="904" spans="1:5" ht="18">
      <c r="A904" s="36"/>
      <c r="C904" s="37"/>
      <c r="D904" s="37"/>
      <c r="E904" s="38"/>
    </row>
    <row r="905" spans="1:5" ht="18">
      <c r="A905" s="36"/>
      <c r="C905" s="37"/>
      <c r="D905" s="37"/>
      <c r="E905" s="38"/>
    </row>
    <row r="906" spans="1:5" ht="18">
      <c r="A906" s="36"/>
      <c r="C906" s="37"/>
      <c r="D906" s="37"/>
      <c r="E906" s="38"/>
    </row>
    <row r="907" spans="1:5" ht="18">
      <c r="A907" s="36"/>
      <c r="C907" s="37"/>
      <c r="D907" s="37"/>
      <c r="E907" s="38"/>
    </row>
    <row r="908" spans="1:5" ht="18">
      <c r="A908" s="36"/>
      <c r="C908" s="37"/>
      <c r="D908" s="37"/>
      <c r="E908" s="38"/>
    </row>
    <row r="909" spans="1:5" ht="18">
      <c r="A909" s="36"/>
      <c r="C909" s="37"/>
      <c r="D909" s="37"/>
      <c r="E909" s="38"/>
    </row>
    <row r="910" spans="1:5" ht="18">
      <c r="A910" s="36"/>
      <c r="C910" s="37"/>
      <c r="D910" s="37"/>
      <c r="E910" s="38"/>
    </row>
    <row r="911" spans="1:5" ht="18">
      <c r="A911" s="36"/>
      <c r="C911" s="37"/>
      <c r="D911" s="37"/>
      <c r="E911" s="38"/>
    </row>
    <row r="912" spans="1:5" ht="18">
      <c r="A912" s="36"/>
      <c r="C912" s="37"/>
      <c r="D912" s="37"/>
      <c r="E912" s="38"/>
    </row>
    <row r="913" spans="1:5" ht="18">
      <c r="A913" s="36"/>
      <c r="C913" s="37"/>
      <c r="D913" s="37"/>
      <c r="E913" s="38"/>
    </row>
    <row r="914" spans="1:5" ht="18">
      <c r="A914" s="36"/>
      <c r="C914" s="37"/>
      <c r="D914" s="37"/>
      <c r="E914" s="38"/>
    </row>
    <row r="915" spans="1:5" ht="18">
      <c r="A915" s="36"/>
      <c r="C915" s="37"/>
      <c r="D915" s="37"/>
      <c r="E915" s="38"/>
    </row>
    <row r="916" spans="1:5" ht="18">
      <c r="A916" s="36"/>
      <c r="C916" s="37"/>
      <c r="D916" s="37"/>
      <c r="E916" s="38"/>
    </row>
    <row r="917" spans="1:5" ht="18">
      <c r="A917" s="36"/>
      <c r="C917" s="37"/>
      <c r="D917" s="37"/>
      <c r="E917" s="38"/>
    </row>
    <row r="918" spans="1:5" ht="18">
      <c r="A918" s="36"/>
      <c r="C918" s="37"/>
      <c r="D918" s="37"/>
      <c r="E918" s="38"/>
    </row>
    <row r="919" spans="1:5" ht="18">
      <c r="A919" s="36"/>
      <c r="C919" s="37"/>
      <c r="D919" s="37"/>
      <c r="E919" s="38"/>
    </row>
    <row r="920" spans="1:5" ht="18">
      <c r="A920" s="36"/>
      <c r="C920" s="37"/>
      <c r="D920" s="37"/>
      <c r="E920" s="38"/>
    </row>
    <row r="921" spans="1:5" ht="18">
      <c r="A921" s="36"/>
      <c r="C921" s="37"/>
      <c r="D921" s="37"/>
      <c r="E921" s="38"/>
    </row>
    <row r="922" spans="1:5" ht="18">
      <c r="A922" s="36"/>
      <c r="C922" s="37"/>
      <c r="D922" s="37"/>
      <c r="E922" s="38"/>
    </row>
    <row r="923" spans="1:5" ht="18">
      <c r="A923" s="36"/>
      <c r="C923" s="37"/>
      <c r="D923" s="37"/>
      <c r="E923" s="38"/>
    </row>
    <row r="924" spans="1:5" ht="18">
      <c r="A924" s="36"/>
      <c r="C924" s="37"/>
      <c r="D924" s="37"/>
      <c r="E924" s="38"/>
    </row>
    <row r="925" spans="1:5" ht="18">
      <c r="A925" s="36"/>
      <c r="C925" s="37"/>
      <c r="D925" s="37"/>
      <c r="E925" s="38"/>
    </row>
    <row r="926" spans="1:5" ht="18">
      <c r="A926" s="36"/>
      <c r="C926" s="37"/>
      <c r="D926" s="37"/>
      <c r="E926" s="38"/>
    </row>
    <row r="927" spans="1:5" ht="18">
      <c r="A927" s="36"/>
      <c r="C927" s="37"/>
      <c r="D927" s="37"/>
      <c r="E927" s="38"/>
    </row>
    <row r="928" spans="1:5" ht="18">
      <c r="A928" s="36"/>
      <c r="C928" s="37"/>
      <c r="D928" s="37"/>
      <c r="E928" s="38"/>
    </row>
    <row r="929" spans="1:5" ht="18">
      <c r="A929" s="36"/>
      <c r="C929" s="37"/>
      <c r="D929" s="37"/>
      <c r="E929" s="38"/>
    </row>
    <row r="930" spans="1:5" ht="18">
      <c r="A930" s="39"/>
      <c r="C930" s="37"/>
      <c r="D930" s="37"/>
      <c r="E930" s="38"/>
    </row>
    <row r="931" spans="1:5" ht="18">
      <c r="A931" s="39"/>
      <c r="C931" s="37"/>
      <c r="D931" s="37"/>
      <c r="E931" s="38"/>
    </row>
    <row r="932" spans="1:5" ht="18">
      <c r="A932" s="39"/>
      <c r="C932" s="37"/>
      <c r="D932" s="37"/>
      <c r="E932" s="38"/>
    </row>
    <row r="933" spans="1:5" ht="18">
      <c r="A933" s="39"/>
      <c r="C933" s="37"/>
      <c r="D933" s="37"/>
      <c r="E933" s="38"/>
    </row>
    <row r="934" spans="1:5" ht="18">
      <c r="A934" s="39"/>
      <c r="C934" s="37"/>
      <c r="D934" s="37"/>
      <c r="E934" s="38"/>
    </row>
    <row r="935" spans="1:5" ht="18">
      <c r="A935" s="39"/>
      <c r="C935" s="37"/>
      <c r="D935" s="37"/>
      <c r="E935" s="38"/>
    </row>
    <row r="936" spans="1:5" ht="18">
      <c r="A936" s="39"/>
      <c r="C936" s="37"/>
      <c r="D936" s="37"/>
      <c r="E936" s="38"/>
    </row>
    <row r="937" spans="1:5" ht="18">
      <c r="A937" s="39"/>
      <c r="C937" s="37"/>
      <c r="D937" s="37"/>
      <c r="E937" s="38"/>
    </row>
    <row r="938" spans="1:5" ht="18">
      <c r="A938" s="39"/>
      <c r="C938" s="37"/>
      <c r="D938" s="37"/>
      <c r="E938" s="38"/>
    </row>
    <row r="939" spans="1:5" ht="18">
      <c r="A939" s="39"/>
      <c r="C939" s="37"/>
      <c r="D939" s="37"/>
      <c r="E939" s="38"/>
    </row>
    <row r="940" spans="1:5" ht="18">
      <c r="A940" s="39"/>
      <c r="C940" s="37"/>
      <c r="D940" s="37"/>
      <c r="E940" s="38"/>
    </row>
    <row r="941" spans="1:5" ht="18">
      <c r="A941" s="39"/>
      <c r="C941" s="37"/>
      <c r="D941" s="37"/>
      <c r="E941" s="38"/>
    </row>
    <row r="942" spans="1:5" ht="18">
      <c r="A942" s="39"/>
      <c r="C942" s="37"/>
      <c r="D942" s="37"/>
      <c r="E942" s="38"/>
    </row>
    <row r="943" spans="1:5" ht="18">
      <c r="A943" s="39"/>
      <c r="C943" s="37"/>
      <c r="D943" s="37"/>
      <c r="E943" s="38"/>
    </row>
    <row r="944" spans="1:5" ht="18">
      <c r="A944" s="39"/>
      <c r="C944" s="37"/>
      <c r="D944" s="37"/>
      <c r="E944" s="38"/>
    </row>
    <row r="945" spans="1:5" ht="18">
      <c r="A945" s="39"/>
      <c r="C945" s="37"/>
      <c r="D945" s="37"/>
      <c r="E945" s="38"/>
    </row>
    <row r="946" spans="1:5" ht="18">
      <c r="A946" s="39"/>
      <c r="C946" s="37"/>
      <c r="D946" s="37"/>
      <c r="E946" s="38"/>
    </row>
    <row r="947" spans="1:5" ht="18">
      <c r="A947" s="39"/>
      <c r="C947" s="37"/>
      <c r="D947" s="37"/>
      <c r="E947" s="38"/>
    </row>
    <row r="948" spans="1:5" ht="18">
      <c r="A948" s="39"/>
      <c r="C948" s="37"/>
      <c r="D948" s="37"/>
      <c r="E948" s="38"/>
    </row>
    <row r="949" spans="1:5" ht="18">
      <c r="A949" s="39"/>
      <c r="C949" s="37"/>
      <c r="D949" s="37"/>
      <c r="E949" s="38"/>
    </row>
    <row r="950" spans="1:5" ht="18">
      <c r="A950" s="39"/>
      <c r="C950" s="37"/>
      <c r="D950" s="37"/>
      <c r="E950" s="38"/>
    </row>
    <row r="951" spans="1:5" ht="18">
      <c r="A951" s="39"/>
      <c r="C951" s="37"/>
      <c r="D951" s="37"/>
      <c r="E951" s="38"/>
    </row>
    <row r="952" spans="1:5" ht="18">
      <c r="A952" s="39"/>
      <c r="C952" s="37"/>
      <c r="D952" s="37"/>
      <c r="E952" s="38"/>
    </row>
    <row r="953" spans="1:5" ht="18">
      <c r="A953" s="39"/>
      <c r="C953" s="37"/>
      <c r="D953" s="37"/>
      <c r="E953" s="38"/>
    </row>
    <row r="954" spans="1:5" ht="18">
      <c r="A954" s="39"/>
      <c r="C954" s="37"/>
      <c r="D954" s="37"/>
      <c r="E954" s="38"/>
    </row>
    <row r="955" spans="1:5" ht="18">
      <c r="A955" s="39"/>
      <c r="C955" s="37"/>
      <c r="D955" s="37"/>
      <c r="E955" s="38"/>
    </row>
    <row r="956" spans="1:5" ht="18">
      <c r="A956" s="39"/>
      <c r="C956" s="37"/>
      <c r="D956" s="37"/>
      <c r="E956" s="38"/>
    </row>
    <row r="957" spans="1:5" ht="18">
      <c r="A957" s="39"/>
      <c r="C957" s="37"/>
      <c r="D957" s="37"/>
      <c r="E957" s="38"/>
    </row>
    <row r="958" spans="1:5" ht="18">
      <c r="A958" s="39"/>
      <c r="C958" s="37"/>
      <c r="D958" s="37"/>
      <c r="E958" s="38"/>
    </row>
    <row r="959" spans="1:5" ht="18">
      <c r="A959" s="39"/>
      <c r="C959" s="37"/>
      <c r="D959" s="37"/>
      <c r="E959" s="38"/>
    </row>
    <row r="960" spans="1:5" ht="18">
      <c r="A960" s="39"/>
      <c r="C960" s="37"/>
      <c r="D960" s="37"/>
      <c r="E960" s="38"/>
    </row>
    <row r="961" spans="1:5" ht="18">
      <c r="A961" s="39"/>
      <c r="C961" s="37"/>
      <c r="D961" s="37"/>
      <c r="E961" s="38"/>
    </row>
    <row r="962" spans="1:5" ht="18">
      <c r="A962" s="39"/>
      <c r="C962" s="37"/>
      <c r="D962" s="37"/>
      <c r="E962" s="38"/>
    </row>
    <row r="963" spans="1:5" ht="18">
      <c r="A963" s="39"/>
      <c r="C963" s="37"/>
      <c r="D963" s="37"/>
      <c r="E963" s="38"/>
    </row>
    <row r="964" spans="1:5" ht="18">
      <c r="A964" s="39"/>
      <c r="C964" s="37"/>
      <c r="D964" s="37"/>
      <c r="E964" s="38"/>
    </row>
    <row r="965" spans="1:5" ht="18">
      <c r="A965" s="39"/>
      <c r="C965" s="37"/>
      <c r="D965" s="37"/>
      <c r="E965" s="38"/>
    </row>
    <row r="966" spans="1:5" ht="18">
      <c r="A966" s="39"/>
      <c r="C966" s="37"/>
      <c r="D966" s="37"/>
      <c r="E966" s="38"/>
    </row>
    <row r="967" spans="1:5" ht="18">
      <c r="A967" s="39"/>
      <c r="C967" s="37"/>
      <c r="D967" s="37"/>
      <c r="E967" s="38"/>
    </row>
    <row r="968" spans="1:5" ht="18">
      <c r="A968" s="39"/>
      <c r="C968" s="37"/>
      <c r="D968" s="37"/>
      <c r="E968" s="38"/>
    </row>
    <row r="969" spans="1:5" ht="18">
      <c r="A969" s="39"/>
      <c r="C969" s="37"/>
      <c r="D969" s="37"/>
      <c r="E969" s="38"/>
    </row>
    <row r="970" spans="1:5" ht="18">
      <c r="A970" s="39"/>
      <c r="C970" s="37"/>
      <c r="D970" s="37"/>
      <c r="E970" s="38"/>
    </row>
    <row r="971" spans="1:5" ht="18">
      <c r="A971" s="39"/>
      <c r="C971" s="37"/>
      <c r="D971" s="37"/>
      <c r="E971" s="38"/>
    </row>
    <row r="972" spans="1:5" ht="18">
      <c r="A972" s="39"/>
      <c r="C972" s="37"/>
      <c r="D972" s="37"/>
      <c r="E972" s="38"/>
    </row>
    <row r="973" spans="1:5" ht="18">
      <c r="A973" s="39"/>
      <c r="C973" s="37"/>
      <c r="D973" s="37"/>
      <c r="E973" s="38"/>
    </row>
    <row r="974" spans="1:5" ht="18">
      <c r="A974" s="39"/>
      <c r="C974" s="37"/>
      <c r="D974" s="37"/>
      <c r="E974" s="38"/>
    </row>
    <row r="975" spans="1:5" ht="18">
      <c r="A975" s="39"/>
      <c r="C975" s="37"/>
      <c r="D975" s="37"/>
      <c r="E975" s="38"/>
    </row>
    <row r="976" spans="1:5" ht="18">
      <c r="A976" s="39"/>
      <c r="C976" s="37"/>
      <c r="D976" s="37"/>
      <c r="E976" s="38"/>
    </row>
    <row r="977" spans="1:5" ht="18">
      <c r="A977" s="39"/>
      <c r="C977" s="37"/>
      <c r="D977" s="37"/>
      <c r="E977" s="38"/>
    </row>
    <row r="978" spans="1:5" ht="18">
      <c r="A978" s="39"/>
      <c r="C978" s="37"/>
      <c r="D978" s="37"/>
      <c r="E978" s="38"/>
    </row>
    <row r="979" spans="1:5" ht="18">
      <c r="A979" s="39"/>
      <c r="C979" s="37"/>
      <c r="D979" s="37"/>
      <c r="E979" s="38"/>
    </row>
    <row r="980" spans="1:5" ht="18">
      <c r="A980" s="39"/>
      <c r="C980" s="37"/>
      <c r="D980" s="37"/>
      <c r="E980" s="38"/>
    </row>
    <row r="981" spans="1:5" ht="18">
      <c r="A981" s="39"/>
      <c r="C981" s="37"/>
      <c r="D981" s="37"/>
      <c r="E981" s="38"/>
    </row>
    <row r="982" spans="1:5" ht="18">
      <c r="A982" s="39"/>
      <c r="C982" s="37"/>
      <c r="D982" s="37"/>
      <c r="E982" s="38"/>
    </row>
    <row r="983" spans="1:5" ht="18">
      <c r="A983" s="39"/>
      <c r="C983" s="37"/>
      <c r="D983" s="37"/>
      <c r="E983" s="38"/>
    </row>
    <row r="984" spans="1:5" ht="18">
      <c r="A984" s="39"/>
      <c r="C984" s="37"/>
      <c r="D984" s="37"/>
      <c r="E984" s="38"/>
    </row>
    <row r="985" spans="1:5" ht="18">
      <c r="A985" s="39"/>
      <c r="C985" s="37"/>
      <c r="D985" s="37"/>
      <c r="E985" s="38"/>
    </row>
    <row r="986" spans="1:5" ht="18">
      <c r="A986" s="39"/>
      <c r="C986" s="37"/>
      <c r="D986" s="37"/>
      <c r="E986" s="38"/>
    </row>
    <row r="987" spans="1:5" ht="18">
      <c r="A987" s="39"/>
      <c r="C987" s="37"/>
      <c r="D987" s="37"/>
      <c r="E987" s="38"/>
    </row>
    <row r="988" spans="1:5" ht="18">
      <c r="A988" s="39"/>
      <c r="C988" s="37"/>
      <c r="D988" s="37"/>
      <c r="E988" s="38"/>
    </row>
    <row r="989" spans="1:5" ht="18">
      <c r="A989" s="39"/>
      <c r="C989" s="37"/>
      <c r="D989" s="37"/>
      <c r="E989" s="38"/>
    </row>
    <row r="990" spans="1:5" ht="18">
      <c r="A990" s="39"/>
      <c r="C990" s="37"/>
      <c r="D990" s="37"/>
      <c r="E990" s="38"/>
    </row>
    <row r="991" spans="1:5" ht="18">
      <c r="A991" s="39"/>
      <c r="C991" s="37"/>
      <c r="D991" s="37"/>
      <c r="E991" s="38"/>
    </row>
    <row r="992" spans="1:5" ht="18">
      <c r="A992" s="39"/>
      <c r="C992" s="37"/>
      <c r="D992" s="37"/>
      <c r="E992" s="38"/>
    </row>
    <row r="993" spans="1:5" ht="18">
      <c r="A993" s="39"/>
      <c r="C993" s="37"/>
      <c r="D993" s="37"/>
      <c r="E993" s="38"/>
    </row>
    <row r="994" spans="1:5" ht="18">
      <c r="A994" s="39"/>
      <c r="C994" s="37"/>
      <c r="D994" s="37"/>
      <c r="E994" s="38"/>
    </row>
    <row r="995" spans="1:5" ht="18">
      <c r="A995" s="39"/>
      <c r="C995" s="37"/>
      <c r="D995" s="37"/>
      <c r="E995" s="38"/>
    </row>
    <row r="996" spans="1:5" ht="18">
      <c r="A996" s="39"/>
      <c r="C996" s="37"/>
      <c r="D996" s="37"/>
      <c r="E996" s="38"/>
    </row>
    <row r="997" spans="1:5" ht="18">
      <c r="A997" s="39"/>
      <c r="C997" s="37"/>
      <c r="D997" s="37"/>
      <c r="E997" s="38"/>
    </row>
    <row r="998" spans="1:5" ht="18">
      <c r="A998" s="39"/>
      <c r="C998" s="37"/>
      <c r="D998" s="37"/>
      <c r="E998" s="38"/>
    </row>
    <row r="999" spans="1:5" ht="18">
      <c r="A999" s="39"/>
      <c r="C999" s="37"/>
      <c r="D999" s="37"/>
      <c r="E999" s="38"/>
    </row>
    <row r="1000" spans="1:5" ht="18">
      <c r="A1000" s="39"/>
      <c r="C1000" s="37"/>
      <c r="D1000" s="37"/>
      <c r="E1000" s="38"/>
    </row>
    <row r="1001" spans="1:5" ht="18">
      <c r="A1001" s="39"/>
      <c r="C1001" s="37"/>
      <c r="D1001" s="37"/>
      <c r="E1001" s="38"/>
    </row>
    <row r="1002" spans="1:5" ht="18">
      <c r="A1002" s="39"/>
      <c r="C1002" s="37"/>
      <c r="D1002" s="37"/>
      <c r="E1002" s="38"/>
    </row>
    <row r="1003" spans="1:5" ht="18">
      <c r="A1003" s="39"/>
      <c r="C1003" s="37"/>
      <c r="D1003" s="37"/>
      <c r="E1003" s="38"/>
    </row>
    <row r="1004" spans="1:5" ht="18">
      <c r="A1004" s="39"/>
      <c r="C1004" s="37"/>
      <c r="D1004" s="37"/>
      <c r="E1004" s="38"/>
    </row>
    <row r="1005" spans="1:5" ht="18">
      <c r="A1005" s="39"/>
      <c r="C1005" s="37"/>
      <c r="D1005" s="37"/>
      <c r="E1005" s="38"/>
    </row>
    <row r="1006" spans="1:5" ht="18">
      <c r="A1006" s="39"/>
      <c r="C1006" s="37"/>
      <c r="D1006" s="37"/>
      <c r="E1006" s="38"/>
    </row>
    <row r="1007" spans="1:5" ht="18">
      <c r="A1007" s="39"/>
      <c r="C1007" s="37"/>
      <c r="D1007" s="37"/>
      <c r="E1007" s="38"/>
    </row>
    <row r="1008" spans="1:5" ht="18">
      <c r="A1008" s="39"/>
      <c r="C1008" s="37"/>
      <c r="D1008" s="37"/>
      <c r="E1008" s="38"/>
    </row>
    <row r="1009" spans="1:5" ht="18">
      <c r="A1009" s="39"/>
      <c r="C1009" s="37"/>
      <c r="D1009" s="37"/>
      <c r="E1009" s="38"/>
    </row>
    <row r="1010" spans="1:5" ht="18">
      <c r="A1010" s="39"/>
      <c r="C1010" s="37"/>
      <c r="D1010" s="37"/>
      <c r="E1010" s="38"/>
    </row>
    <row r="1011" spans="1:5" ht="18">
      <c r="A1011" s="39"/>
      <c r="C1011" s="37"/>
      <c r="D1011" s="37"/>
      <c r="E1011" s="38"/>
    </row>
    <row r="1012" spans="1:5" ht="18">
      <c r="A1012" s="39"/>
      <c r="C1012" s="37"/>
      <c r="D1012" s="37"/>
      <c r="E1012" s="38"/>
    </row>
    <row r="1013" spans="1:5" ht="18">
      <c r="A1013" s="39"/>
      <c r="C1013" s="37"/>
      <c r="D1013" s="37"/>
      <c r="E1013" s="38"/>
    </row>
    <row r="1014" spans="1:5" ht="18">
      <c r="A1014" s="39"/>
      <c r="C1014" s="37"/>
      <c r="D1014" s="37"/>
      <c r="E1014" s="38"/>
    </row>
    <row r="1015" spans="1:5" ht="18">
      <c r="A1015" s="39"/>
      <c r="C1015" s="37"/>
      <c r="D1015" s="37"/>
      <c r="E1015" s="38"/>
    </row>
    <row r="1016" spans="1:5" ht="18">
      <c r="A1016" s="39"/>
      <c r="C1016" s="37"/>
      <c r="D1016" s="37"/>
      <c r="E1016" s="38"/>
    </row>
    <row r="1017" spans="1:5" ht="18">
      <c r="A1017" s="39"/>
      <c r="C1017" s="37"/>
      <c r="D1017" s="37"/>
      <c r="E1017" s="38"/>
    </row>
    <row r="1018" spans="1:5" ht="18">
      <c r="A1018" s="39"/>
      <c r="C1018" s="37"/>
      <c r="D1018" s="37"/>
      <c r="E1018" s="38"/>
    </row>
    <row r="1019" spans="1:5" ht="18">
      <c r="A1019" s="39"/>
      <c r="C1019" s="37"/>
      <c r="D1019" s="37"/>
      <c r="E1019" s="38"/>
    </row>
    <row r="1020" spans="1:5" ht="18">
      <c r="A1020" s="39"/>
      <c r="C1020" s="37"/>
      <c r="D1020" s="37"/>
      <c r="E1020" s="38"/>
    </row>
    <row r="1021" spans="1:5" ht="18">
      <c r="A1021" s="39"/>
      <c r="C1021" s="37"/>
      <c r="D1021" s="37"/>
      <c r="E1021" s="38"/>
    </row>
    <row r="1022" spans="1:5" ht="18">
      <c r="A1022" s="39"/>
      <c r="C1022" s="37"/>
      <c r="D1022" s="37"/>
      <c r="E1022" s="38"/>
    </row>
    <row r="1023" spans="1:5" ht="18">
      <c r="A1023" s="39"/>
      <c r="C1023" s="37"/>
      <c r="D1023" s="37"/>
      <c r="E1023" s="38"/>
    </row>
    <row r="1024" spans="1:5" ht="18">
      <c r="A1024" s="39"/>
      <c r="C1024" s="37"/>
      <c r="D1024" s="37"/>
      <c r="E1024" s="38"/>
    </row>
    <row r="1025" spans="1:5" ht="18">
      <c r="A1025" s="39"/>
      <c r="C1025" s="37"/>
      <c r="D1025" s="37"/>
      <c r="E1025" s="38"/>
    </row>
    <row r="1026" spans="1:5" ht="18">
      <c r="A1026" s="39"/>
      <c r="C1026" s="37"/>
      <c r="D1026" s="37"/>
      <c r="E1026" s="38"/>
    </row>
    <row r="1027" spans="1:5" ht="18">
      <c r="A1027" s="39"/>
      <c r="C1027" s="37"/>
      <c r="D1027" s="37"/>
      <c r="E1027" s="38"/>
    </row>
    <row r="1028" spans="1:5" ht="18">
      <c r="A1028" s="39"/>
      <c r="C1028" s="37"/>
      <c r="D1028" s="37"/>
      <c r="E1028" s="38"/>
    </row>
    <row r="1029" spans="1:5" ht="18">
      <c r="A1029" s="39"/>
      <c r="C1029" s="37"/>
      <c r="D1029" s="37"/>
      <c r="E1029" s="38"/>
    </row>
    <row r="1030" spans="1:5" ht="18">
      <c r="A1030" s="39"/>
      <c r="C1030" s="37"/>
      <c r="D1030" s="37"/>
      <c r="E1030" s="38"/>
    </row>
    <row r="1031" spans="1:5" ht="18">
      <c r="A1031" s="39"/>
      <c r="C1031" s="37"/>
      <c r="D1031" s="37"/>
      <c r="E1031" s="38"/>
    </row>
    <row r="1032" spans="1:5" ht="18">
      <c r="A1032" s="39"/>
      <c r="C1032" s="37"/>
      <c r="D1032" s="37"/>
      <c r="E1032" s="38"/>
    </row>
    <row r="1033" spans="1:5" ht="18">
      <c r="A1033" s="39"/>
      <c r="C1033" s="37"/>
      <c r="D1033" s="37"/>
      <c r="E1033" s="38"/>
    </row>
    <row r="1034" spans="1:5" ht="18">
      <c r="A1034" s="39"/>
      <c r="C1034" s="37"/>
      <c r="D1034" s="37"/>
      <c r="E1034" s="38"/>
    </row>
    <row r="1035" spans="1:5" ht="18">
      <c r="A1035" s="39"/>
      <c r="C1035" s="37"/>
      <c r="D1035" s="37"/>
      <c r="E1035" s="38"/>
    </row>
    <row r="1036" spans="1:5" ht="18">
      <c r="A1036" s="39"/>
      <c r="C1036" s="37"/>
      <c r="D1036" s="37"/>
      <c r="E1036" s="38"/>
    </row>
    <row r="1037" spans="1:5" ht="18">
      <c r="A1037" s="39"/>
      <c r="C1037" s="37"/>
      <c r="D1037" s="37"/>
      <c r="E1037" s="38"/>
    </row>
    <row r="1038" spans="1:5" ht="18">
      <c r="A1038" s="39"/>
      <c r="C1038" s="37"/>
      <c r="D1038" s="37"/>
      <c r="E1038" s="38"/>
    </row>
    <row r="1039" spans="1:5" ht="18">
      <c r="A1039" s="39"/>
      <c r="C1039" s="37"/>
      <c r="D1039" s="37"/>
      <c r="E1039" s="38"/>
    </row>
    <row r="1040" spans="1:5" ht="18">
      <c r="A1040" s="39"/>
      <c r="C1040" s="37"/>
      <c r="D1040" s="37"/>
      <c r="E1040" s="38"/>
    </row>
    <row r="1041" spans="1:5" ht="18">
      <c r="A1041" s="39"/>
      <c r="C1041" s="37"/>
      <c r="D1041" s="37"/>
      <c r="E1041" s="38"/>
    </row>
    <row r="1042" spans="1:5" ht="18">
      <c r="A1042" s="39"/>
      <c r="C1042" s="37"/>
      <c r="D1042" s="37"/>
      <c r="E1042" s="38"/>
    </row>
    <row r="1043" spans="1:5" ht="18">
      <c r="A1043" s="39"/>
      <c r="C1043" s="37"/>
      <c r="D1043" s="37"/>
      <c r="E1043" s="38"/>
    </row>
    <row r="1044" spans="1:5" ht="18">
      <c r="A1044" s="39"/>
      <c r="C1044" s="37"/>
      <c r="D1044" s="37"/>
      <c r="E1044" s="38"/>
    </row>
    <row r="1045" spans="1:5" ht="18">
      <c r="A1045" s="39"/>
      <c r="C1045" s="37"/>
      <c r="D1045" s="37"/>
      <c r="E1045" s="38"/>
    </row>
    <row r="1046" spans="1:5" ht="18">
      <c r="A1046" s="39"/>
      <c r="C1046" s="37"/>
      <c r="D1046" s="37"/>
      <c r="E1046" s="38"/>
    </row>
    <row r="1047" spans="1:5" ht="18">
      <c r="A1047" s="39"/>
      <c r="C1047" s="37"/>
      <c r="D1047" s="37"/>
      <c r="E1047" s="38"/>
    </row>
    <row r="1048" spans="1:5" ht="18">
      <c r="A1048" s="39"/>
      <c r="C1048" s="37"/>
      <c r="D1048" s="37"/>
      <c r="E1048" s="38"/>
    </row>
    <row r="1049" spans="1:5" ht="18">
      <c r="A1049" s="39"/>
      <c r="C1049" s="37"/>
      <c r="D1049" s="37"/>
      <c r="E1049" s="38"/>
    </row>
    <row r="1050" spans="1:5" ht="18">
      <c r="A1050" s="39"/>
      <c r="C1050" s="37"/>
      <c r="D1050" s="37"/>
      <c r="E1050" s="38"/>
    </row>
    <row r="1051" spans="1:5" ht="18">
      <c r="A1051" s="39"/>
      <c r="C1051" s="37"/>
      <c r="D1051" s="37"/>
      <c r="E1051" s="38"/>
    </row>
    <row r="1052" spans="1:5" ht="18">
      <c r="A1052" s="39"/>
      <c r="C1052" s="37"/>
      <c r="D1052" s="37"/>
      <c r="E1052" s="38"/>
    </row>
    <row r="1053" spans="1:5" ht="18">
      <c r="A1053" s="39"/>
      <c r="C1053" s="37"/>
      <c r="D1053" s="37"/>
      <c r="E1053" s="38"/>
    </row>
    <row r="1054" spans="1:5" ht="18">
      <c r="A1054" s="39"/>
      <c r="C1054" s="37"/>
      <c r="D1054" s="37"/>
      <c r="E1054" s="38"/>
    </row>
    <row r="1055" spans="1:5" ht="18">
      <c r="A1055" s="39"/>
      <c r="C1055" s="37"/>
      <c r="D1055" s="37"/>
      <c r="E1055" s="38"/>
    </row>
    <row r="1056" spans="1:5" ht="18">
      <c r="A1056" s="39"/>
      <c r="C1056" s="37"/>
      <c r="D1056" s="37"/>
      <c r="E1056" s="38"/>
    </row>
    <row r="1057" spans="1:5" ht="18">
      <c r="A1057" s="39"/>
      <c r="C1057" s="37"/>
      <c r="D1057" s="37"/>
      <c r="E1057" s="38"/>
    </row>
    <row r="1058" spans="1:5" ht="18">
      <c r="A1058" s="39"/>
      <c r="C1058" s="37"/>
      <c r="D1058" s="37"/>
      <c r="E1058" s="38"/>
    </row>
    <row r="1059" spans="1:5" ht="18">
      <c r="A1059" s="39"/>
      <c r="C1059" s="37"/>
      <c r="D1059" s="37"/>
      <c r="E1059" s="38"/>
    </row>
    <row r="1060" spans="1:5" ht="18">
      <c r="A1060" s="39"/>
      <c r="C1060" s="37"/>
      <c r="D1060" s="37"/>
      <c r="E1060" s="38"/>
    </row>
    <row r="1061" spans="1:5" ht="18">
      <c r="A1061" s="39"/>
      <c r="C1061" s="37"/>
      <c r="D1061" s="37"/>
      <c r="E1061" s="38"/>
    </row>
    <row r="1062" spans="1:5" ht="18">
      <c r="A1062" s="39"/>
      <c r="C1062" s="37"/>
      <c r="D1062" s="37"/>
      <c r="E1062" s="38"/>
    </row>
    <row r="1063" spans="1:5" ht="18">
      <c r="A1063" s="39"/>
      <c r="C1063" s="37"/>
      <c r="D1063" s="37"/>
      <c r="E1063" s="38"/>
    </row>
    <row r="1064" spans="1:5" ht="18">
      <c r="A1064" s="39"/>
      <c r="C1064" s="37"/>
      <c r="D1064" s="37"/>
      <c r="E1064" s="38"/>
    </row>
    <row r="1065" spans="1:5" ht="18">
      <c r="A1065" s="39"/>
      <c r="C1065" s="37"/>
      <c r="D1065" s="37"/>
      <c r="E1065" s="38"/>
    </row>
    <row r="1066" spans="1:5" ht="18">
      <c r="A1066" s="39"/>
      <c r="C1066" s="37"/>
      <c r="D1066" s="37"/>
      <c r="E1066" s="38"/>
    </row>
    <row r="1067" spans="1:5" ht="18">
      <c r="A1067" s="39"/>
      <c r="C1067" s="37"/>
      <c r="D1067" s="37"/>
      <c r="E1067" s="38"/>
    </row>
    <row r="1068" spans="1:5" ht="18">
      <c r="A1068" s="39"/>
      <c r="C1068" s="37"/>
      <c r="D1068" s="37"/>
      <c r="E1068" s="38"/>
    </row>
    <row r="1069" spans="1:5" ht="18">
      <c r="A1069" s="39"/>
      <c r="C1069" s="37"/>
      <c r="D1069" s="37"/>
      <c r="E1069" s="38"/>
    </row>
    <row r="1070" spans="1:5" ht="18">
      <c r="A1070" s="39"/>
      <c r="C1070" s="37"/>
      <c r="D1070" s="37"/>
      <c r="E1070" s="38"/>
    </row>
    <row r="1071" spans="1:5" ht="18">
      <c r="A1071" s="39"/>
      <c r="C1071" s="37"/>
      <c r="D1071" s="37"/>
      <c r="E1071" s="38"/>
    </row>
    <row r="1072" spans="1:5" ht="18">
      <c r="A1072" s="39"/>
      <c r="C1072" s="37"/>
      <c r="D1072" s="37"/>
      <c r="E1072" s="38"/>
    </row>
    <row r="1073" spans="1:5" ht="18">
      <c r="A1073" s="39"/>
      <c r="C1073" s="37"/>
      <c r="D1073" s="37"/>
      <c r="E1073" s="38"/>
    </row>
    <row r="1074" spans="1:5" ht="18">
      <c r="A1074" s="39"/>
      <c r="C1074" s="37"/>
      <c r="D1074" s="37"/>
      <c r="E1074" s="38"/>
    </row>
    <row r="1075" spans="1:5" ht="18">
      <c r="A1075" s="39"/>
      <c r="C1075" s="37"/>
      <c r="D1075" s="37"/>
      <c r="E1075" s="38"/>
    </row>
    <row r="1076" spans="1:5" ht="18">
      <c r="A1076" s="39"/>
      <c r="C1076" s="37"/>
      <c r="D1076" s="37"/>
      <c r="E1076" s="38"/>
    </row>
    <row r="1077" spans="1:5" ht="18">
      <c r="A1077" s="39"/>
      <c r="C1077" s="37"/>
      <c r="D1077" s="37"/>
      <c r="E1077" s="38"/>
    </row>
    <row r="1078" spans="1:5" ht="18">
      <c r="A1078" s="39"/>
      <c r="C1078" s="37"/>
      <c r="D1078" s="37"/>
      <c r="E1078" s="38"/>
    </row>
    <row r="1079" spans="1:5" ht="18">
      <c r="A1079" s="39"/>
      <c r="C1079" s="37"/>
      <c r="D1079" s="37"/>
      <c r="E1079" s="38"/>
    </row>
    <row r="1080" spans="1:5" ht="18">
      <c r="A1080" s="39"/>
      <c r="C1080" s="37"/>
      <c r="D1080" s="37"/>
      <c r="E1080" s="38"/>
    </row>
    <row r="1081" spans="1:5" ht="18">
      <c r="A1081" s="39"/>
      <c r="C1081" s="37"/>
      <c r="D1081" s="37"/>
      <c r="E1081" s="38"/>
    </row>
    <row r="1082" spans="1:5" ht="18">
      <c r="A1082" s="39"/>
      <c r="C1082" s="37"/>
      <c r="D1082" s="37"/>
      <c r="E1082" s="38"/>
    </row>
    <row r="1083" spans="3:5" ht="18">
      <c r="C1083" s="37"/>
      <c r="D1083" s="37"/>
      <c r="E1083" s="38"/>
    </row>
    <row r="1084" spans="3:5" ht="18">
      <c r="C1084" s="37"/>
      <c r="D1084" s="37"/>
      <c r="E1084" s="38"/>
    </row>
    <row r="1085" spans="3:5" ht="18">
      <c r="C1085" s="37"/>
      <c r="D1085" s="37"/>
      <c r="E1085" s="38"/>
    </row>
    <row r="1086" spans="3:5" ht="18">
      <c r="C1086" s="37"/>
      <c r="D1086" s="37"/>
      <c r="E1086" s="38"/>
    </row>
    <row r="1087" spans="3:5" ht="18">
      <c r="C1087" s="37"/>
      <c r="D1087" s="37"/>
      <c r="E1087" s="38"/>
    </row>
    <row r="1088" spans="3:5" ht="18">
      <c r="C1088" s="37"/>
      <c r="D1088" s="37"/>
      <c r="E1088" s="38"/>
    </row>
    <row r="1089" spans="3:5" ht="18">
      <c r="C1089" s="37"/>
      <c r="D1089" s="37"/>
      <c r="E1089" s="38"/>
    </row>
    <row r="1090" spans="3:5" ht="18">
      <c r="C1090" s="37"/>
      <c r="D1090" s="37"/>
      <c r="E1090" s="38"/>
    </row>
    <row r="1091" spans="3:5" ht="18">
      <c r="C1091" s="37"/>
      <c r="D1091" s="37"/>
      <c r="E1091" s="38"/>
    </row>
    <row r="1092" spans="3:5" ht="18">
      <c r="C1092" s="37"/>
      <c r="D1092" s="37"/>
      <c r="E1092" s="38"/>
    </row>
    <row r="1093" spans="3:5" ht="18">
      <c r="C1093" s="37"/>
      <c r="D1093" s="37"/>
      <c r="E1093" s="38"/>
    </row>
    <row r="1094" spans="3:5" ht="18">
      <c r="C1094" s="37"/>
      <c r="D1094" s="37"/>
      <c r="E1094" s="38"/>
    </row>
    <row r="1095" spans="3:5" ht="18">
      <c r="C1095" s="37"/>
      <c r="D1095" s="37"/>
      <c r="E1095" s="38"/>
    </row>
    <row r="1096" spans="3:5" ht="18">
      <c r="C1096" s="37"/>
      <c r="D1096" s="37"/>
      <c r="E1096" s="38"/>
    </row>
    <row r="1097" spans="3:5" ht="18">
      <c r="C1097" s="37"/>
      <c r="D1097" s="37"/>
      <c r="E1097" s="38"/>
    </row>
    <row r="1098" spans="3:5" ht="18">
      <c r="C1098" s="37"/>
      <c r="D1098" s="37"/>
      <c r="E1098" s="38"/>
    </row>
    <row r="1099" spans="3:5" ht="18">
      <c r="C1099" s="37"/>
      <c r="D1099" s="37"/>
      <c r="E1099" s="38"/>
    </row>
    <row r="1100" spans="3:5" ht="18">
      <c r="C1100" s="37"/>
      <c r="D1100" s="37"/>
      <c r="E1100" s="38"/>
    </row>
    <row r="1101" spans="3:5" ht="18">
      <c r="C1101" s="37"/>
      <c r="D1101" s="37"/>
      <c r="E1101" s="38"/>
    </row>
    <row r="1102" spans="3:5" ht="18">
      <c r="C1102" s="37"/>
      <c r="D1102" s="37"/>
      <c r="E1102" s="38"/>
    </row>
    <row r="1103" spans="3:5" ht="18">
      <c r="C1103" s="37"/>
      <c r="D1103" s="37"/>
      <c r="E1103" s="38"/>
    </row>
    <row r="1104" spans="3:5" ht="18">
      <c r="C1104" s="37"/>
      <c r="D1104" s="37"/>
      <c r="E1104" s="38"/>
    </row>
    <row r="1105" ht="18">
      <c r="E1105" s="38"/>
    </row>
    <row r="1106" ht="18">
      <c r="E1106" s="38"/>
    </row>
    <row r="1107" ht="18">
      <c r="E1107" s="38"/>
    </row>
    <row r="1108" ht="18">
      <c r="E1108" s="38"/>
    </row>
    <row r="1109" ht="18">
      <c r="E1109" s="38"/>
    </row>
    <row r="1110" ht="18">
      <c r="E1110" s="38"/>
    </row>
    <row r="1111" ht="18">
      <c r="E1111" s="38"/>
    </row>
    <row r="1112" ht="18">
      <c r="E1112" s="38"/>
    </row>
    <row r="1113" ht="18">
      <c r="E1113" s="38"/>
    </row>
    <row r="1114" ht="18">
      <c r="E1114" s="38"/>
    </row>
    <row r="1115" ht="18">
      <c r="E1115" s="38"/>
    </row>
    <row r="1116" ht="18">
      <c r="E1116" s="38"/>
    </row>
    <row r="1117" ht="18">
      <c r="E1117" s="38"/>
    </row>
    <row r="1118" ht="18">
      <c r="E1118" s="38"/>
    </row>
    <row r="1119" ht="18">
      <c r="E1119" s="38"/>
    </row>
    <row r="1120" ht="18">
      <c r="E1120" s="38"/>
    </row>
    <row r="1121" ht="18">
      <c r="E1121" s="38"/>
    </row>
    <row r="1122" ht="18">
      <c r="E1122" s="38"/>
    </row>
    <row r="1123" ht="18">
      <c r="E1123" s="38"/>
    </row>
    <row r="1124" ht="18">
      <c r="E1124" s="38"/>
    </row>
    <row r="1125" ht="18">
      <c r="E1125" s="38"/>
    </row>
    <row r="1126" ht="18">
      <c r="E1126" s="38"/>
    </row>
    <row r="1127" ht="18">
      <c r="E1127" s="38"/>
    </row>
    <row r="1128" ht="18">
      <c r="E1128" s="38"/>
    </row>
    <row r="1129" ht="18">
      <c r="E1129" s="38"/>
    </row>
    <row r="1130" ht="18">
      <c r="E1130" s="38"/>
    </row>
    <row r="1131" ht="18">
      <c r="E1131" s="38"/>
    </row>
    <row r="1132" ht="18">
      <c r="E1132" s="38"/>
    </row>
    <row r="1133" ht="18">
      <c r="E1133" s="38"/>
    </row>
    <row r="1134" ht="18">
      <c r="E1134" s="38"/>
    </row>
    <row r="1135" ht="18">
      <c r="E1135" s="38"/>
    </row>
    <row r="1136" ht="18">
      <c r="E1136" s="38"/>
    </row>
    <row r="1137" ht="18">
      <c r="E1137" s="38"/>
    </row>
    <row r="1138" ht="18">
      <c r="E1138" s="38"/>
    </row>
    <row r="1139" ht="18">
      <c r="E1139" s="38"/>
    </row>
    <row r="1140" ht="18">
      <c r="E1140" s="38"/>
    </row>
    <row r="1141" ht="18">
      <c r="E1141" s="38"/>
    </row>
    <row r="1142" ht="18">
      <c r="E1142" s="38"/>
    </row>
    <row r="1143" ht="18">
      <c r="E1143" s="38"/>
    </row>
    <row r="1144" ht="18">
      <c r="E1144" s="38"/>
    </row>
    <row r="1145" ht="18">
      <c r="E1145" s="38"/>
    </row>
    <row r="1146" ht="18">
      <c r="E1146" s="38"/>
    </row>
    <row r="1147" ht="18">
      <c r="E1147" s="38"/>
    </row>
    <row r="1148" ht="18">
      <c r="E1148" s="38"/>
    </row>
    <row r="1149" ht="18">
      <c r="E1149" s="38"/>
    </row>
    <row r="1150" ht="18">
      <c r="E1150" s="38"/>
    </row>
    <row r="1151" ht="18">
      <c r="E1151" s="38"/>
    </row>
    <row r="1152" ht="18">
      <c r="E1152" s="38"/>
    </row>
    <row r="1153" ht="18">
      <c r="E1153" s="38"/>
    </row>
    <row r="1154" ht="18">
      <c r="E1154" s="38"/>
    </row>
  </sheetData>
  <sheetProtection/>
  <mergeCells count="1">
    <mergeCell ref="A1:E1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7"/>
  <sheetViews>
    <sheetView zoomScaleSheetLayoutView="75" zoomScalePageLayoutView="0" workbookViewId="0" topLeftCell="A1">
      <pane xSplit="2" ySplit="4" topLeftCell="C2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3" sqref="D53"/>
    </sheetView>
  </sheetViews>
  <sheetFormatPr defaultColWidth="9.00390625" defaultRowHeight="12.75"/>
  <cols>
    <col min="1" max="1" width="12.875" style="1" customWidth="1"/>
    <col min="2" max="2" width="66.375" style="1" customWidth="1"/>
    <col min="3" max="3" width="23.875" style="1" customWidth="1"/>
    <col min="4" max="4" width="24.00390625" style="1" customWidth="1"/>
    <col min="5" max="5" width="27.625" style="1" customWidth="1"/>
    <col min="6" max="6" width="27.00390625" style="1" customWidth="1"/>
    <col min="7" max="7" width="74.375" style="1" customWidth="1"/>
    <col min="8" max="8" width="30.00390625" style="1" customWidth="1"/>
    <col min="9" max="9" width="29.125" style="1" customWidth="1"/>
    <col min="10" max="10" width="35.875" style="1" customWidth="1"/>
    <col min="11" max="11" width="30.375" style="1" customWidth="1"/>
    <col min="12" max="12" width="28.75390625" style="1" customWidth="1"/>
    <col min="13" max="13" width="30.875" style="1" customWidth="1"/>
    <col min="14" max="14" width="26.375" style="1" customWidth="1"/>
    <col min="15" max="15" width="9.125" style="1" customWidth="1"/>
    <col min="16" max="16" width="29.125" style="1" customWidth="1"/>
    <col min="17" max="17" width="24.75390625" style="1" customWidth="1"/>
    <col min="18" max="18" width="25.875" style="1" customWidth="1"/>
    <col min="19" max="19" width="24.125" style="1" customWidth="1"/>
    <col min="20" max="16384" width="9.125" style="1" customWidth="1"/>
  </cols>
  <sheetData>
    <row r="1" spans="1:5" ht="18">
      <c r="A1" s="357" t="s">
        <v>329</v>
      </c>
      <c r="B1" s="357"/>
      <c r="C1" s="357"/>
      <c r="D1" s="357"/>
      <c r="E1" s="357"/>
    </row>
    <row r="3" spans="1:19" ht="18">
      <c r="A3" s="234" t="s">
        <v>0</v>
      </c>
      <c r="B3" s="235"/>
      <c r="C3" s="235" t="s">
        <v>325</v>
      </c>
      <c r="D3" s="235" t="s">
        <v>325</v>
      </c>
      <c r="E3" s="235" t="s">
        <v>326</v>
      </c>
      <c r="F3" s="235" t="s">
        <v>326</v>
      </c>
      <c r="G3" s="236"/>
      <c r="H3" s="236"/>
      <c r="I3" s="236" t="s">
        <v>371</v>
      </c>
      <c r="J3" s="236" t="s">
        <v>371</v>
      </c>
      <c r="K3" s="236" t="s">
        <v>371</v>
      </c>
      <c r="L3" s="236" t="s">
        <v>371</v>
      </c>
      <c r="M3" s="236" t="s">
        <v>371</v>
      </c>
      <c r="N3" s="236"/>
      <c r="P3" s="1" t="s">
        <v>411</v>
      </c>
      <c r="Q3" s="1" t="s">
        <v>412</v>
      </c>
      <c r="R3" s="1" t="s">
        <v>412</v>
      </c>
      <c r="S3" s="1" t="s">
        <v>420</v>
      </c>
    </row>
    <row r="4" spans="1:18" ht="18">
      <c r="A4" s="108" t="s">
        <v>1</v>
      </c>
      <c r="B4" s="237" t="s">
        <v>2</v>
      </c>
      <c r="C4" s="237">
        <v>2009</v>
      </c>
      <c r="D4" s="237">
        <v>2010</v>
      </c>
      <c r="E4" s="237" t="s">
        <v>330</v>
      </c>
      <c r="F4" s="237" t="s">
        <v>330</v>
      </c>
      <c r="G4" s="236" t="s">
        <v>306</v>
      </c>
      <c r="H4" s="236" t="s">
        <v>373</v>
      </c>
      <c r="I4" s="236" t="s">
        <v>323</v>
      </c>
      <c r="J4" s="236" t="s">
        <v>372</v>
      </c>
      <c r="K4" s="236" t="s">
        <v>375</v>
      </c>
      <c r="L4" s="236" t="s">
        <v>376</v>
      </c>
      <c r="M4" s="236" t="s">
        <v>377</v>
      </c>
      <c r="N4" s="236" t="s">
        <v>374</v>
      </c>
      <c r="Q4" s="1">
        <v>2010</v>
      </c>
      <c r="R4" s="1">
        <v>2030</v>
      </c>
    </row>
    <row r="5" spans="1:14" ht="18">
      <c r="A5" s="108" t="s">
        <v>6</v>
      </c>
      <c r="B5" s="84"/>
      <c r="C5" s="84"/>
      <c r="D5" s="84"/>
      <c r="E5" s="237" t="s">
        <v>327</v>
      </c>
      <c r="F5" s="237" t="s">
        <v>328</v>
      </c>
      <c r="G5" s="236"/>
      <c r="H5" s="236"/>
      <c r="I5" s="236"/>
      <c r="J5" s="236"/>
      <c r="K5" s="236"/>
      <c r="L5" s="236"/>
      <c r="M5" s="236"/>
      <c r="N5" s="236"/>
    </row>
    <row r="6" spans="1:14" ht="18">
      <c r="A6" s="89" t="s">
        <v>7</v>
      </c>
      <c r="B6" s="90" t="s">
        <v>8</v>
      </c>
      <c r="C6" s="91">
        <f>C22+C26+C14+C8+C11</f>
        <v>1960000</v>
      </c>
      <c r="D6" s="91">
        <f>D22+D26+D14+D8+D11</f>
        <v>2911560</v>
      </c>
      <c r="E6" s="93">
        <f>D6-C6</f>
        <v>951560</v>
      </c>
      <c r="F6" s="238">
        <f>D6*100/C6</f>
        <v>148.54897959183674</v>
      </c>
      <c r="G6" s="200"/>
      <c r="H6" s="239">
        <f>SUM(I6:M6)</f>
        <v>0</v>
      </c>
      <c r="I6" s="240"/>
      <c r="J6" s="240"/>
      <c r="K6" s="240"/>
      <c r="L6" s="240"/>
      <c r="M6" s="240"/>
      <c r="N6" s="240"/>
    </row>
    <row r="7" spans="1:14" ht="18">
      <c r="A7" s="83"/>
      <c r="B7" s="84"/>
      <c r="C7" s="85"/>
      <c r="D7" s="94"/>
      <c r="E7" s="93"/>
      <c r="F7" s="238"/>
      <c r="G7" s="200"/>
      <c r="H7" s="239">
        <f aca="true" t="shared" si="0" ref="H7:H71">SUM(I7:M7)</f>
        <v>0</v>
      </c>
      <c r="I7" s="84"/>
      <c r="J7" s="84"/>
      <c r="K7" s="84"/>
      <c r="L7" s="84"/>
      <c r="M7" s="84"/>
      <c r="N7" s="84"/>
    </row>
    <row r="8" spans="1:14" ht="18">
      <c r="A8" s="95" t="s">
        <v>252</v>
      </c>
      <c r="B8" s="96" t="s">
        <v>253</v>
      </c>
      <c r="C8" s="97">
        <f>SUM(C9:C9)</f>
        <v>50000</v>
      </c>
      <c r="D8" s="98">
        <f>SUM(D9:D9)</f>
        <v>50000</v>
      </c>
      <c r="E8" s="93">
        <f aca="true" t="shared" si="1" ref="E8:E83">D8-C8</f>
        <v>0</v>
      </c>
      <c r="F8" s="238">
        <f aca="true" t="shared" si="2" ref="F8:F83">D8*100/C8</f>
        <v>100</v>
      </c>
      <c r="G8" s="200"/>
      <c r="H8" s="239">
        <f t="shared" si="0"/>
        <v>0</v>
      </c>
      <c r="I8" s="84"/>
      <c r="J8" s="84"/>
      <c r="K8" s="84"/>
      <c r="L8" s="84"/>
      <c r="M8" s="84"/>
      <c r="N8" s="84"/>
    </row>
    <row r="9" spans="1:14" ht="18">
      <c r="A9" s="83" t="s">
        <v>16</v>
      </c>
      <c r="B9" s="84" t="s">
        <v>17</v>
      </c>
      <c r="C9" s="85">
        <v>50000</v>
      </c>
      <c r="D9" s="94">
        <v>50000</v>
      </c>
      <c r="E9" s="93">
        <f t="shared" si="1"/>
        <v>0</v>
      </c>
      <c r="F9" s="238">
        <f t="shared" si="2"/>
        <v>100</v>
      </c>
      <c r="G9" s="200" t="s">
        <v>307</v>
      </c>
      <c r="H9" s="239">
        <f t="shared" si="0"/>
        <v>50000</v>
      </c>
      <c r="I9" s="84"/>
      <c r="J9" s="191">
        <f>D9</f>
        <v>50000</v>
      </c>
      <c r="K9" s="84"/>
      <c r="L9" s="84"/>
      <c r="M9" s="84"/>
      <c r="N9" s="84"/>
    </row>
    <row r="10" spans="1:14" ht="18">
      <c r="A10" s="83"/>
      <c r="B10" s="84"/>
      <c r="C10" s="85"/>
      <c r="D10" s="94"/>
      <c r="E10" s="93"/>
      <c r="F10" s="238"/>
      <c r="G10" s="200"/>
      <c r="H10" s="239">
        <f t="shared" si="0"/>
        <v>0</v>
      </c>
      <c r="I10" s="84"/>
      <c r="J10" s="84"/>
      <c r="K10" s="84"/>
      <c r="L10" s="84"/>
      <c r="M10" s="84"/>
      <c r="N10" s="84"/>
    </row>
    <row r="11" spans="1:14" ht="18">
      <c r="A11" s="95" t="s">
        <v>348</v>
      </c>
      <c r="B11" s="96" t="s">
        <v>349</v>
      </c>
      <c r="C11" s="97">
        <f>SUM(C12:C12)</f>
        <v>0</v>
      </c>
      <c r="D11" s="98">
        <f>SUM(D12:D12)</f>
        <v>8000</v>
      </c>
      <c r="E11" s="93">
        <f>D11-C11</f>
        <v>8000</v>
      </c>
      <c r="F11" s="238" t="e">
        <f>D11*100/C11</f>
        <v>#DIV/0!</v>
      </c>
      <c r="G11" s="200"/>
      <c r="H11" s="239">
        <f t="shared" si="0"/>
        <v>0</v>
      </c>
      <c r="I11" s="84"/>
      <c r="J11" s="84"/>
      <c r="K11" s="84"/>
      <c r="L11" s="84"/>
      <c r="M11" s="84"/>
      <c r="N11" s="84"/>
    </row>
    <row r="12" spans="1:14" ht="70.5" customHeight="1">
      <c r="A12" s="83" t="s">
        <v>350</v>
      </c>
      <c r="B12" s="241" t="s">
        <v>351</v>
      </c>
      <c r="C12" s="85">
        <v>0</v>
      </c>
      <c r="D12" s="94">
        <v>8000</v>
      </c>
      <c r="E12" s="93">
        <f>D12-C12</f>
        <v>8000</v>
      </c>
      <c r="F12" s="238" t="e">
        <f>D12*100/C12</f>
        <v>#DIV/0!</v>
      </c>
      <c r="G12" s="200" t="s">
        <v>352</v>
      </c>
      <c r="H12" s="239">
        <f t="shared" si="0"/>
        <v>8000</v>
      </c>
      <c r="I12" s="84"/>
      <c r="J12" s="84"/>
      <c r="K12" s="191">
        <f>D12</f>
        <v>8000</v>
      </c>
      <c r="L12" s="84"/>
      <c r="M12" s="84"/>
      <c r="N12" s="84"/>
    </row>
    <row r="13" spans="1:14" ht="18">
      <c r="A13" s="83"/>
      <c r="B13" s="84"/>
      <c r="C13" s="85"/>
      <c r="D13" s="94"/>
      <c r="E13" s="93"/>
      <c r="F13" s="238"/>
      <c r="G13" s="200"/>
      <c r="H13" s="239">
        <f t="shared" si="0"/>
        <v>0</v>
      </c>
      <c r="I13" s="84"/>
      <c r="J13" s="84"/>
      <c r="K13" s="84"/>
      <c r="L13" s="84"/>
      <c r="M13" s="84"/>
      <c r="N13" s="84"/>
    </row>
    <row r="14" spans="1:14" ht="18">
      <c r="A14" s="95" t="s">
        <v>208</v>
      </c>
      <c r="B14" s="96" t="s">
        <v>209</v>
      </c>
      <c r="C14" s="97">
        <f>SUM(C15:C20)</f>
        <v>1900000</v>
      </c>
      <c r="D14" s="97">
        <f>SUM(D15:D20)</f>
        <v>2843560</v>
      </c>
      <c r="E14" s="93">
        <f t="shared" si="1"/>
        <v>943560</v>
      </c>
      <c r="F14" s="238">
        <f t="shared" si="2"/>
        <v>149.66105263157894</v>
      </c>
      <c r="G14" s="200"/>
      <c r="H14" s="239">
        <f t="shared" si="0"/>
        <v>0</v>
      </c>
      <c r="I14" s="84"/>
      <c r="J14" s="84"/>
      <c r="K14" s="84"/>
      <c r="L14" s="84"/>
      <c r="M14" s="84"/>
      <c r="N14" s="84"/>
    </row>
    <row r="15" spans="1:14" ht="18">
      <c r="A15" s="83" t="s">
        <v>32</v>
      </c>
      <c r="B15" s="84" t="s">
        <v>33</v>
      </c>
      <c r="C15" s="85">
        <v>0</v>
      </c>
      <c r="D15" s="94">
        <v>33560</v>
      </c>
      <c r="E15" s="93">
        <f>D15-C15</f>
        <v>33560</v>
      </c>
      <c r="F15" s="238" t="e">
        <f>D15*100/C15</f>
        <v>#DIV/0!</v>
      </c>
      <c r="G15" s="200" t="s">
        <v>358</v>
      </c>
      <c r="H15" s="239">
        <f t="shared" si="0"/>
        <v>33560</v>
      </c>
      <c r="I15" s="191">
        <f>D15</f>
        <v>33560</v>
      </c>
      <c r="J15" s="84"/>
      <c r="K15" s="84"/>
      <c r="L15" s="84"/>
      <c r="M15" s="84"/>
      <c r="N15" s="84"/>
    </row>
    <row r="16" spans="1:14" ht="45" customHeight="1">
      <c r="A16" s="83" t="s">
        <v>89</v>
      </c>
      <c r="B16" s="84" t="s">
        <v>98</v>
      </c>
      <c r="C16" s="85">
        <f>1800000+50000</f>
        <v>1850000</v>
      </c>
      <c r="D16" s="94">
        <v>250000</v>
      </c>
      <c r="E16" s="93">
        <f>D16-C16</f>
        <v>-1600000</v>
      </c>
      <c r="F16" s="238">
        <f>D16*100/C16</f>
        <v>13.513513513513514</v>
      </c>
      <c r="G16" s="200" t="s">
        <v>529</v>
      </c>
      <c r="H16" s="239">
        <f t="shared" si="0"/>
        <v>0</v>
      </c>
      <c r="I16" s="84"/>
      <c r="J16" s="84"/>
      <c r="K16" s="84"/>
      <c r="L16" s="84"/>
      <c r="M16" s="84"/>
      <c r="N16" s="191">
        <f>D16</f>
        <v>250000</v>
      </c>
    </row>
    <row r="17" spans="1:14" ht="21" customHeight="1">
      <c r="A17" s="83" t="s">
        <v>202</v>
      </c>
      <c r="B17" s="84" t="s">
        <v>98</v>
      </c>
      <c r="C17" s="85">
        <v>0</v>
      </c>
      <c r="D17" s="94">
        <v>2161626</v>
      </c>
      <c r="E17" s="93">
        <f t="shared" si="1"/>
        <v>2161626</v>
      </c>
      <c r="F17" s="238" t="e">
        <f t="shared" si="2"/>
        <v>#DIV/0!</v>
      </c>
      <c r="G17" s="242" t="s">
        <v>353</v>
      </c>
      <c r="H17" s="239">
        <f t="shared" si="0"/>
        <v>0</v>
      </c>
      <c r="I17" s="191"/>
      <c r="J17" s="191"/>
      <c r="K17" s="191"/>
      <c r="L17" s="191"/>
      <c r="M17" s="191"/>
      <c r="N17" s="191">
        <f>D17</f>
        <v>2161626</v>
      </c>
    </row>
    <row r="18" spans="1:14" ht="21" customHeight="1">
      <c r="A18" s="83" t="s">
        <v>203</v>
      </c>
      <c r="B18" s="84" t="s">
        <v>98</v>
      </c>
      <c r="C18" s="85"/>
      <c r="D18" s="94">
        <v>398374</v>
      </c>
      <c r="E18" s="93"/>
      <c r="F18" s="238"/>
      <c r="G18" s="242"/>
      <c r="H18" s="239"/>
      <c r="I18" s="191"/>
      <c r="J18" s="191"/>
      <c r="K18" s="191"/>
      <c r="L18" s="191"/>
      <c r="M18" s="191"/>
      <c r="N18" s="191"/>
    </row>
    <row r="19" spans="1:14" ht="18">
      <c r="A19" s="83" t="s">
        <v>73</v>
      </c>
      <c r="B19" s="84" t="s">
        <v>74</v>
      </c>
      <c r="C19" s="85">
        <v>50000</v>
      </c>
      <c r="D19" s="94">
        <v>0</v>
      </c>
      <c r="E19" s="93">
        <f t="shared" si="1"/>
        <v>-50000</v>
      </c>
      <c r="F19" s="238">
        <f t="shared" si="2"/>
        <v>0</v>
      </c>
      <c r="G19" s="242"/>
      <c r="H19" s="239">
        <f t="shared" si="0"/>
        <v>0</v>
      </c>
      <c r="I19" s="191"/>
      <c r="J19" s="191"/>
      <c r="K19" s="191"/>
      <c r="L19" s="191"/>
      <c r="M19" s="191"/>
      <c r="N19" s="191">
        <f>D19</f>
        <v>0</v>
      </c>
    </row>
    <row r="20" spans="1:14" ht="18">
      <c r="A20" s="83"/>
      <c r="B20" s="84" t="s">
        <v>75</v>
      </c>
      <c r="C20" s="85"/>
      <c r="D20" s="94"/>
      <c r="E20" s="93"/>
      <c r="F20" s="238"/>
      <c r="G20" s="242"/>
      <c r="H20" s="239">
        <f t="shared" si="0"/>
        <v>0</v>
      </c>
      <c r="I20" s="191"/>
      <c r="J20" s="191"/>
      <c r="K20" s="191"/>
      <c r="L20" s="191"/>
      <c r="M20" s="191"/>
      <c r="N20" s="191"/>
    </row>
    <row r="21" spans="1:14" ht="18">
      <c r="A21" s="83"/>
      <c r="B21" s="84"/>
      <c r="C21" s="85"/>
      <c r="D21" s="94"/>
      <c r="E21" s="93"/>
      <c r="F21" s="238"/>
      <c r="G21" s="200"/>
      <c r="H21" s="239">
        <f t="shared" si="0"/>
        <v>0</v>
      </c>
      <c r="I21" s="84"/>
      <c r="J21" s="84"/>
      <c r="K21" s="84"/>
      <c r="L21" s="84"/>
      <c r="M21" s="84"/>
      <c r="N21" s="84"/>
    </row>
    <row r="22" spans="1:14" ht="18">
      <c r="A22" s="95" t="s">
        <v>9</v>
      </c>
      <c r="B22" s="96" t="s">
        <v>10</v>
      </c>
      <c r="C22" s="97">
        <f>SUM(C23)</f>
        <v>5000</v>
      </c>
      <c r="D22" s="98">
        <f>SUM(D23)</f>
        <v>5000</v>
      </c>
      <c r="E22" s="93">
        <f t="shared" si="1"/>
        <v>0</v>
      </c>
      <c r="F22" s="238">
        <f t="shared" si="2"/>
        <v>100</v>
      </c>
      <c r="G22" s="200"/>
      <c r="H22" s="239">
        <f t="shared" si="0"/>
        <v>0</v>
      </c>
      <c r="I22" s="84"/>
      <c r="J22" s="84"/>
      <c r="K22" s="84"/>
      <c r="L22" s="84"/>
      <c r="M22" s="84"/>
      <c r="N22" s="84"/>
    </row>
    <row r="23" spans="1:14" ht="18">
      <c r="A23" s="83" t="s">
        <v>11</v>
      </c>
      <c r="B23" s="84" t="s">
        <v>12</v>
      </c>
      <c r="C23" s="85">
        <v>5000</v>
      </c>
      <c r="D23" s="94">
        <v>5000</v>
      </c>
      <c r="E23" s="93">
        <f t="shared" si="1"/>
        <v>0</v>
      </c>
      <c r="F23" s="238">
        <f t="shared" si="2"/>
        <v>100</v>
      </c>
      <c r="G23" s="200"/>
      <c r="H23" s="239">
        <f t="shared" si="0"/>
        <v>5000</v>
      </c>
      <c r="I23" s="84"/>
      <c r="J23" s="191"/>
      <c r="K23" s="191">
        <f>D23</f>
        <v>5000</v>
      </c>
      <c r="L23" s="84"/>
      <c r="M23" s="84"/>
      <c r="N23" s="84"/>
    </row>
    <row r="24" spans="1:14" ht="18">
      <c r="A24" s="83"/>
      <c r="B24" s="84" t="s">
        <v>13</v>
      </c>
      <c r="C24" s="85"/>
      <c r="D24" s="94"/>
      <c r="E24" s="93"/>
      <c r="F24" s="238"/>
      <c r="G24" s="200"/>
      <c r="H24" s="239">
        <f t="shared" si="0"/>
        <v>0</v>
      </c>
      <c r="I24" s="84"/>
      <c r="J24" s="84"/>
      <c r="K24" s="84"/>
      <c r="L24" s="84"/>
      <c r="M24" s="84"/>
      <c r="N24" s="84"/>
    </row>
    <row r="25" spans="1:14" ht="18">
      <c r="A25" s="83"/>
      <c r="B25" s="84"/>
      <c r="C25" s="85"/>
      <c r="D25" s="94"/>
      <c r="E25" s="93"/>
      <c r="F25" s="238"/>
      <c r="G25" s="200"/>
      <c r="H25" s="239">
        <f t="shared" si="0"/>
        <v>0</v>
      </c>
      <c r="I25" s="84"/>
      <c r="J25" s="84"/>
      <c r="K25" s="84"/>
      <c r="L25" s="84"/>
      <c r="M25" s="84"/>
      <c r="N25" s="84"/>
    </row>
    <row r="26" spans="1:14" ht="18">
      <c r="A26" s="95" t="s">
        <v>14</v>
      </c>
      <c r="B26" s="96" t="s">
        <v>15</v>
      </c>
      <c r="C26" s="97">
        <f>SUM(C27:C28)</f>
        <v>5000</v>
      </c>
      <c r="D26" s="98">
        <f>SUM(D27:D28)</f>
        <v>5000</v>
      </c>
      <c r="E26" s="93">
        <f t="shared" si="1"/>
        <v>0</v>
      </c>
      <c r="F26" s="238">
        <f t="shared" si="2"/>
        <v>100</v>
      </c>
      <c r="G26" s="200"/>
      <c r="H26" s="239">
        <f t="shared" si="0"/>
        <v>0</v>
      </c>
      <c r="I26" s="84"/>
      <c r="J26" s="84"/>
      <c r="K26" s="84"/>
      <c r="L26" s="84"/>
      <c r="M26" s="84"/>
      <c r="N26" s="84"/>
    </row>
    <row r="27" spans="1:14" ht="18">
      <c r="A27" s="83" t="s">
        <v>16</v>
      </c>
      <c r="B27" s="84" t="s">
        <v>17</v>
      </c>
      <c r="C27" s="85">
        <v>2000</v>
      </c>
      <c r="D27" s="94">
        <v>2000</v>
      </c>
      <c r="E27" s="93">
        <f t="shared" si="1"/>
        <v>0</v>
      </c>
      <c r="F27" s="238">
        <f t="shared" si="2"/>
        <v>100</v>
      </c>
      <c r="G27" s="200"/>
      <c r="H27" s="239">
        <f t="shared" si="0"/>
        <v>2000</v>
      </c>
      <c r="I27" s="84"/>
      <c r="J27" s="191">
        <f>D27</f>
        <v>2000</v>
      </c>
      <c r="K27" s="84"/>
      <c r="L27" s="84"/>
      <c r="M27" s="84"/>
      <c r="N27" s="84"/>
    </row>
    <row r="28" spans="1:14" ht="18">
      <c r="A28" s="83" t="s">
        <v>53</v>
      </c>
      <c r="B28" s="84" t="s">
        <v>54</v>
      </c>
      <c r="C28" s="85">
        <v>3000</v>
      </c>
      <c r="D28" s="94">
        <v>3000</v>
      </c>
      <c r="E28" s="93">
        <f t="shared" si="1"/>
        <v>0</v>
      </c>
      <c r="F28" s="238">
        <f t="shared" si="2"/>
        <v>100</v>
      </c>
      <c r="G28" s="200"/>
      <c r="H28" s="239">
        <f t="shared" si="0"/>
        <v>3000</v>
      </c>
      <c r="I28" s="84"/>
      <c r="J28" s="191">
        <f>D28</f>
        <v>3000</v>
      </c>
      <c r="K28" s="84"/>
      <c r="L28" s="84"/>
      <c r="M28" s="84"/>
      <c r="N28" s="84"/>
    </row>
    <row r="29" spans="1:14" ht="18">
      <c r="A29" s="99"/>
      <c r="B29" s="100"/>
      <c r="C29" s="101"/>
      <c r="D29" s="102"/>
      <c r="E29" s="93"/>
      <c r="F29" s="238"/>
      <c r="G29" s="200"/>
      <c r="H29" s="239">
        <f t="shared" si="0"/>
        <v>0</v>
      </c>
      <c r="I29" s="84"/>
      <c r="J29" s="84"/>
      <c r="K29" s="84"/>
      <c r="L29" s="84"/>
      <c r="M29" s="84"/>
      <c r="N29" s="84"/>
    </row>
    <row r="30" spans="1:14" ht="18">
      <c r="A30" s="95" t="s">
        <v>18</v>
      </c>
      <c r="B30" s="96" t="s">
        <v>19</v>
      </c>
      <c r="C30" s="97">
        <f>C32</f>
        <v>163700</v>
      </c>
      <c r="D30" s="98">
        <f>D32</f>
        <v>205086</v>
      </c>
      <c r="E30" s="93">
        <f t="shared" si="1"/>
        <v>41386</v>
      </c>
      <c r="F30" s="238">
        <f t="shared" si="2"/>
        <v>125.28161270616982</v>
      </c>
      <c r="G30" s="200"/>
      <c r="H30" s="239">
        <f t="shared" si="0"/>
        <v>0</v>
      </c>
      <c r="I30" s="84"/>
      <c r="J30" s="84"/>
      <c r="K30" s="84"/>
      <c r="L30" s="84"/>
      <c r="M30" s="84"/>
      <c r="N30" s="84"/>
    </row>
    <row r="31" spans="1:14" ht="18">
      <c r="A31" s="83"/>
      <c r="B31" s="84"/>
      <c r="C31" s="85"/>
      <c r="D31" s="94"/>
      <c r="E31" s="93"/>
      <c r="F31" s="238"/>
      <c r="G31" s="200"/>
      <c r="H31" s="239">
        <f t="shared" si="0"/>
        <v>0</v>
      </c>
      <c r="I31" s="84"/>
      <c r="J31" s="84"/>
      <c r="K31" s="84"/>
      <c r="L31" s="84"/>
      <c r="M31" s="84"/>
      <c r="N31" s="84"/>
    </row>
    <row r="32" spans="1:14" ht="18">
      <c r="A32" s="95" t="s">
        <v>20</v>
      </c>
      <c r="B32" s="96" t="s">
        <v>21</v>
      </c>
      <c r="C32" s="97">
        <f>SUM(C33:C43)</f>
        <v>163700</v>
      </c>
      <c r="D32" s="98">
        <f>SUM(D33:D43)</f>
        <v>205086</v>
      </c>
      <c r="E32" s="93">
        <f t="shared" si="1"/>
        <v>41386</v>
      </c>
      <c r="F32" s="238">
        <f t="shared" si="2"/>
        <v>125.28161270616982</v>
      </c>
      <c r="G32" s="200"/>
      <c r="H32" s="239">
        <f t="shared" si="0"/>
        <v>0</v>
      </c>
      <c r="I32" s="84"/>
      <c r="J32" s="84"/>
      <c r="K32" s="84"/>
      <c r="L32" s="84"/>
      <c r="M32" s="84"/>
      <c r="N32" s="84"/>
    </row>
    <row r="33" spans="1:14" ht="18">
      <c r="A33" s="103" t="s">
        <v>231</v>
      </c>
      <c r="B33" s="104" t="s">
        <v>232</v>
      </c>
      <c r="C33" s="105">
        <v>1000</v>
      </c>
      <c r="D33" s="195">
        <v>1200</v>
      </c>
      <c r="E33" s="93">
        <f t="shared" si="1"/>
        <v>200</v>
      </c>
      <c r="F33" s="238">
        <f t="shared" si="2"/>
        <v>120</v>
      </c>
      <c r="G33" s="200"/>
      <c r="H33" s="239">
        <f t="shared" si="0"/>
        <v>1200</v>
      </c>
      <c r="I33" s="84"/>
      <c r="J33" s="84"/>
      <c r="K33" s="84"/>
      <c r="L33" s="191">
        <f>D33</f>
        <v>1200</v>
      </c>
      <c r="M33" s="84"/>
      <c r="N33" s="84"/>
    </row>
    <row r="34" spans="1:14" ht="18">
      <c r="A34" s="83" t="s">
        <v>22</v>
      </c>
      <c r="B34" s="84" t="s">
        <v>23</v>
      </c>
      <c r="C34" s="85">
        <v>63100</v>
      </c>
      <c r="D34" s="94">
        <v>68508</v>
      </c>
      <c r="E34" s="93">
        <f t="shared" si="1"/>
        <v>5408</v>
      </c>
      <c r="F34" s="238">
        <f t="shared" si="2"/>
        <v>108.57052297939778</v>
      </c>
      <c r="G34" s="200"/>
      <c r="H34" s="239">
        <f t="shared" si="0"/>
        <v>68508</v>
      </c>
      <c r="I34" s="191">
        <f>D34</f>
        <v>68508</v>
      </c>
      <c r="J34" s="84"/>
      <c r="K34" s="84"/>
      <c r="L34" s="84"/>
      <c r="M34" s="84"/>
      <c r="N34" s="84"/>
    </row>
    <row r="35" spans="1:14" ht="18">
      <c r="A35" s="83" t="s">
        <v>24</v>
      </c>
      <c r="B35" s="84" t="s">
        <v>25</v>
      </c>
      <c r="C35" s="85">
        <v>4900</v>
      </c>
      <c r="D35" s="94">
        <v>5264</v>
      </c>
      <c r="E35" s="93">
        <f t="shared" si="1"/>
        <v>364</v>
      </c>
      <c r="F35" s="238">
        <f t="shared" si="2"/>
        <v>107.42857142857143</v>
      </c>
      <c r="G35" s="200"/>
      <c r="H35" s="239">
        <f t="shared" si="0"/>
        <v>5264</v>
      </c>
      <c r="I35" s="191">
        <f>D35</f>
        <v>5264</v>
      </c>
      <c r="J35" s="84"/>
      <c r="K35" s="84"/>
      <c r="L35" s="84"/>
      <c r="M35" s="84"/>
      <c r="N35" s="84"/>
    </row>
    <row r="36" spans="1:14" ht="18">
      <c r="A36" s="83" t="s">
        <v>26</v>
      </c>
      <c r="B36" s="84" t="s">
        <v>27</v>
      </c>
      <c r="C36" s="85">
        <v>10300</v>
      </c>
      <c r="D36" s="94">
        <v>11206</v>
      </c>
      <c r="E36" s="93">
        <f t="shared" si="1"/>
        <v>906</v>
      </c>
      <c r="F36" s="238">
        <f t="shared" si="2"/>
        <v>108.79611650485437</v>
      </c>
      <c r="G36" s="200"/>
      <c r="H36" s="239">
        <f t="shared" si="0"/>
        <v>11206</v>
      </c>
      <c r="I36" s="191">
        <f>D36</f>
        <v>11206</v>
      </c>
      <c r="J36" s="84"/>
      <c r="K36" s="84"/>
      <c r="L36" s="84"/>
      <c r="M36" s="84"/>
      <c r="N36" s="84"/>
    </row>
    <row r="37" spans="1:14" ht="18">
      <c r="A37" s="83" t="s">
        <v>28</v>
      </c>
      <c r="B37" s="84" t="s">
        <v>29</v>
      </c>
      <c r="C37" s="85">
        <v>1700</v>
      </c>
      <c r="D37" s="94">
        <v>1808</v>
      </c>
      <c r="E37" s="93">
        <f t="shared" si="1"/>
        <v>108</v>
      </c>
      <c r="F37" s="238">
        <f t="shared" si="2"/>
        <v>106.3529411764706</v>
      </c>
      <c r="G37" s="200"/>
      <c r="H37" s="239">
        <f t="shared" si="0"/>
        <v>1808</v>
      </c>
      <c r="I37" s="191">
        <f>D37</f>
        <v>1808</v>
      </c>
      <c r="J37" s="84"/>
      <c r="K37" s="84"/>
      <c r="L37" s="84"/>
      <c r="M37" s="84"/>
      <c r="N37" s="84"/>
    </row>
    <row r="38" spans="1:14" ht="18">
      <c r="A38" s="83" t="s">
        <v>30</v>
      </c>
      <c r="B38" s="84" t="s">
        <v>59</v>
      </c>
      <c r="C38" s="85">
        <v>3100</v>
      </c>
      <c r="D38" s="94">
        <v>2900</v>
      </c>
      <c r="E38" s="93">
        <f t="shared" si="1"/>
        <v>-200</v>
      </c>
      <c r="F38" s="238">
        <f t="shared" si="2"/>
        <v>93.54838709677419</v>
      </c>
      <c r="G38" s="200"/>
      <c r="H38" s="239">
        <f t="shared" si="0"/>
        <v>2900</v>
      </c>
      <c r="I38" s="84"/>
      <c r="J38" s="191">
        <f>D38</f>
        <v>2900</v>
      </c>
      <c r="K38" s="84"/>
      <c r="L38" s="84"/>
      <c r="M38" s="84"/>
      <c r="N38" s="84"/>
    </row>
    <row r="39" spans="1:14" ht="18">
      <c r="A39" s="83" t="s">
        <v>32</v>
      </c>
      <c r="B39" s="84" t="s">
        <v>33</v>
      </c>
      <c r="C39" s="85">
        <v>1000</v>
      </c>
      <c r="D39" s="94">
        <v>1000</v>
      </c>
      <c r="E39" s="93">
        <f t="shared" si="1"/>
        <v>0</v>
      </c>
      <c r="F39" s="238">
        <f t="shared" si="2"/>
        <v>100</v>
      </c>
      <c r="G39" s="200"/>
      <c r="H39" s="239">
        <f t="shared" si="0"/>
        <v>1000</v>
      </c>
      <c r="I39" s="191">
        <f>D39</f>
        <v>1000</v>
      </c>
      <c r="J39" s="84"/>
      <c r="K39" s="84"/>
      <c r="L39" s="84"/>
      <c r="M39" s="84"/>
      <c r="N39" s="84"/>
    </row>
    <row r="40" spans="1:14" ht="18">
      <c r="A40" s="83" t="s">
        <v>34</v>
      </c>
      <c r="B40" s="84" t="s">
        <v>35</v>
      </c>
      <c r="C40" s="85">
        <v>18000</v>
      </c>
      <c r="D40" s="94">
        <v>18000</v>
      </c>
      <c r="E40" s="93">
        <f t="shared" si="1"/>
        <v>0</v>
      </c>
      <c r="F40" s="238">
        <f t="shared" si="2"/>
        <v>100</v>
      </c>
      <c r="G40" s="200"/>
      <c r="H40" s="239">
        <f t="shared" si="0"/>
        <v>18000</v>
      </c>
      <c r="I40" s="84"/>
      <c r="J40" s="191">
        <f>D40</f>
        <v>18000</v>
      </c>
      <c r="K40" s="84"/>
      <c r="L40" s="84"/>
      <c r="M40" s="84"/>
      <c r="N40" s="84"/>
    </row>
    <row r="41" spans="1:14" ht="18">
      <c r="A41" s="83" t="s">
        <v>16</v>
      </c>
      <c r="B41" s="84" t="s">
        <v>17</v>
      </c>
      <c r="C41" s="85">
        <v>50000</v>
      </c>
      <c r="D41" s="94">
        <v>85000</v>
      </c>
      <c r="E41" s="93">
        <f t="shared" si="1"/>
        <v>35000</v>
      </c>
      <c r="F41" s="238">
        <f t="shared" si="2"/>
        <v>170</v>
      </c>
      <c r="G41" s="200"/>
      <c r="H41" s="239">
        <f t="shared" si="0"/>
        <v>85000</v>
      </c>
      <c r="I41" s="84"/>
      <c r="J41" s="191">
        <f>D41</f>
        <v>85000</v>
      </c>
      <c r="K41" s="84"/>
      <c r="L41" s="84"/>
      <c r="M41" s="84"/>
      <c r="N41" s="84"/>
    </row>
    <row r="42" spans="1:14" ht="18">
      <c r="A42" s="83" t="s">
        <v>36</v>
      </c>
      <c r="B42" s="84" t="s">
        <v>37</v>
      </c>
      <c r="C42" s="85">
        <v>7000</v>
      </c>
      <c r="D42" s="94">
        <v>7000</v>
      </c>
      <c r="E42" s="93">
        <f t="shared" si="1"/>
        <v>0</v>
      </c>
      <c r="F42" s="238">
        <f t="shared" si="2"/>
        <v>100</v>
      </c>
      <c r="G42" s="200"/>
      <c r="H42" s="239">
        <f t="shared" si="0"/>
        <v>7000</v>
      </c>
      <c r="I42" s="84"/>
      <c r="J42" s="191">
        <f>D42</f>
        <v>7000</v>
      </c>
      <c r="K42" s="84"/>
      <c r="L42" s="84"/>
      <c r="M42" s="84"/>
      <c r="N42" s="84"/>
    </row>
    <row r="43" spans="1:14" ht="18">
      <c r="A43" s="99" t="s">
        <v>38</v>
      </c>
      <c r="B43" s="100" t="s">
        <v>39</v>
      </c>
      <c r="C43" s="101">
        <v>3600</v>
      </c>
      <c r="D43" s="102">
        <v>3200</v>
      </c>
      <c r="E43" s="93">
        <f t="shared" si="1"/>
        <v>-400</v>
      </c>
      <c r="F43" s="238">
        <f t="shared" si="2"/>
        <v>88.88888888888889</v>
      </c>
      <c r="G43" s="200"/>
      <c r="H43" s="239">
        <f t="shared" si="0"/>
        <v>3200</v>
      </c>
      <c r="I43" s="84"/>
      <c r="J43" s="191">
        <f>D43</f>
        <v>3200</v>
      </c>
      <c r="K43" s="84"/>
      <c r="L43" s="84"/>
      <c r="M43" s="84"/>
      <c r="N43" s="84"/>
    </row>
    <row r="44" spans="1:14" ht="18">
      <c r="A44" s="89" t="s">
        <v>40</v>
      </c>
      <c r="B44" s="90" t="s">
        <v>41</v>
      </c>
      <c r="C44" s="91">
        <f>SUM(C50+C61+C46)</f>
        <v>503000</v>
      </c>
      <c r="D44" s="91">
        <f>SUM(D50+D61+D46)</f>
        <v>1226707</v>
      </c>
      <c r="E44" s="93">
        <f t="shared" si="1"/>
        <v>723707</v>
      </c>
      <c r="F44" s="238">
        <f t="shared" si="2"/>
        <v>243.87813121272364</v>
      </c>
      <c r="G44" s="200"/>
      <c r="H44" s="239">
        <f t="shared" si="0"/>
        <v>0</v>
      </c>
      <c r="I44" s="84"/>
      <c r="J44" s="84"/>
      <c r="K44" s="84"/>
      <c r="L44" s="84"/>
      <c r="M44" s="84"/>
      <c r="N44" s="84"/>
    </row>
    <row r="45" spans="1:14" ht="18">
      <c r="A45" s="83"/>
      <c r="B45" s="84"/>
      <c r="C45" s="85"/>
      <c r="D45" s="94"/>
      <c r="E45" s="93"/>
      <c r="F45" s="238"/>
      <c r="G45" s="200"/>
      <c r="H45" s="239">
        <f t="shared" si="0"/>
        <v>0</v>
      </c>
      <c r="I45" s="84"/>
      <c r="J45" s="84"/>
      <c r="K45" s="84"/>
      <c r="L45" s="84"/>
      <c r="M45" s="84"/>
      <c r="N45" s="84"/>
    </row>
    <row r="46" spans="1:14" ht="18">
      <c r="A46" s="95" t="s">
        <v>204</v>
      </c>
      <c r="B46" s="96" t="s">
        <v>205</v>
      </c>
      <c r="C46" s="97">
        <f>SUM(C47:C48)</f>
        <v>0</v>
      </c>
      <c r="D46" s="97">
        <f>SUM(D47:D48)</f>
        <v>447707</v>
      </c>
      <c r="E46" s="93">
        <f>D46-C46</f>
        <v>447707</v>
      </c>
      <c r="F46" s="238" t="e">
        <f>D46*100/C46</f>
        <v>#DIV/0!</v>
      </c>
      <c r="G46" s="200"/>
      <c r="H46" s="239">
        <f t="shared" si="0"/>
        <v>0</v>
      </c>
      <c r="I46" s="84"/>
      <c r="J46" s="84"/>
      <c r="K46" s="84"/>
      <c r="L46" s="84"/>
      <c r="M46" s="84"/>
      <c r="N46" s="84"/>
    </row>
    <row r="47" spans="1:14" ht="63" customHeight="1">
      <c r="A47" s="83" t="s">
        <v>239</v>
      </c>
      <c r="B47" s="241" t="s">
        <v>379</v>
      </c>
      <c r="C47" s="85">
        <v>0</v>
      </c>
      <c r="D47" s="94">
        <v>350000</v>
      </c>
      <c r="E47" s="93">
        <f>D47-C47</f>
        <v>350000</v>
      </c>
      <c r="F47" s="238" t="e">
        <f>D47*100/C47</f>
        <v>#DIV/0!</v>
      </c>
      <c r="G47" s="200" t="s">
        <v>359</v>
      </c>
      <c r="H47" s="239">
        <f t="shared" si="0"/>
        <v>350000</v>
      </c>
      <c r="I47" s="191"/>
      <c r="J47" s="191"/>
      <c r="K47" s="191">
        <f>D47</f>
        <v>350000</v>
      </c>
      <c r="L47" s="191"/>
      <c r="M47" s="191"/>
      <c r="N47" s="191"/>
    </row>
    <row r="48" spans="1:14" ht="81" customHeight="1">
      <c r="A48" s="83" t="s">
        <v>166</v>
      </c>
      <c r="B48" s="241" t="s">
        <v>378</v>
      </c>
      <c r="C48" s="85">
        <v>0</v>
      </c>
      <c r="D48" s="94">
        <v>97707</v>
      </c>
      <c r="E48" s="93">
        <f>D48-C48</f>
        <v>97707</v>
      </c>
      <c r="F48" s="238" t="e">
        <f>D48*100/C48</f>
        <v>#DIV/0!</v>
      </c>
      <c r="G48" s="200" t="s">
        <v>360</v>
      </c>
      <c r="H48" s="239">
        <f t="shared" si="0"/>
        <v>0</v>
      </c>
      <c r="I48" s="191"/>
      <c r="J48" s="191"/>
      <c r="K48" s="191"/>
      <c r="L48" s="191"/>
      <c r="M48" s="191"/>
      <c r="N48" s="191">
        <f>D48</f>
        <v>97707</v>
      </c>
    </row>
    <row r="49" spans="1:14" ht="18">
      <c r="A49" s="83"/>
      <c r="B49" s="84"/>
      <c r="C49" s="85"/>
      <c r="D49" s="94"/>
      <c r="E49" s="93"/>
      <c r="F49" s="238"/>
      <c r="G49" s="200"/>
      <c r="H49" s="239">
        <f t="shared" si="0"/>
        <v>0</v>
      </c>
      <c r="I49" s="84"/>
      <c r="J49" s="84"/>
      <c r="K49" s="84"/>
      <c r="L49" s="84"/>
      <c r="M49" s="84"/>
      <c r="N49" s="84"/>
    </row>
    <row r="50" spans="1:14" ht="18">
      <c r="A50" s="95" t="s">
        <v>42</v>
      </c>
      <c r="B50" s="96" t="s">
        <v>43</v>
      </c>
      <c r="C50" s="97">
        <f>SUM(C51:C59)</f>
        <v>500000</v>
      </c>
      <c r="D50" s="97">
        <f>SUM(D51:D59)</f>
        <v>776000</v>
      </c>
      <c r="E50" s="93">
        <f t="shared" si="1"/>
        <v>276000</v>
      </c>
      <c r="F50" s="238">
        <f t="shared" si="2"/>
        <v>155.2</v>
      </c>
      <c r="G50" s="200"/>
      <c r="H50" s="239">
        <f t="shared" si="0"/>
        <v>0</v>
      </c>
      <c r="I50" s="84"/>
      <c r="J50" s="84"/>
      <c r="K50" s="84"/>
      <c r="L50" s="84"/>
      <c r="M50" s="84"/>
      <c r="N50" s="84"/>
    </row>
    <row r="51" spans="1:14" ht="18">
      <c r="A51" s="83" t="s">
        <v>32</v>
      </c>
      <c r="B51" s="84" t="s">
        <v>33</v>
      </c>
      <c r="C51" s="85">
        <v>9000</v>
      </c>
      <c r="D51" s="94">
        <v>9000</v>
      </c>
      <c r="E51" s="93">
        <f t="shared" si="1"/>
        <v>0</v>
      </c>
      <c r="F51" s="238">
        <f t="shared" si="2"/>
        <v>100</v>
      </c>
      <c r="G51" s="200" t="s">
        <v>316</v>
      </c>
      <c r="H51" s="239">
        <f t="shared" si="0"/>
        <v>9000</v>
      </c>
      <c r="I51" s="191">
        <f>D51</f>
        <v>9000</v>
      </c>
      <c r="J51" s="84"/>
      <c r="K51" s="84"/>
      <c r="L51" s="84"/>
      <c r="M51" s="84"/>
      <c r="N51" s="84"/>
    </row>
    <row r="52" spans="1:14" ht="18">
      <c r="A52" s="83" t="s">
        <v>34</v>
      </c>
      <c r="B52" s="84" t="s">
        <v>35</v>
      </c>
      <c r="C52" s="85">
        <v>12000</v>
      </c>
      <c r="D52" s="94">
        <v>10000</v>
      </c>
      <c r="E52" s="93">
        <f t="shared" si="1"/>
        <v>-2000</v>
      </c>
      <c r="F52" s="238">
        <f t="shared" si="2"/>
        <v>83.33333333333333</v>
      </c>
      <c r="G52" s="200" t="s">
        <v>317</v>
      </c>
      <c r="H52" s="239">
        <f t="shared" si="0"/>
        <v>10000</v>
      </c>
      <c r="I52" s="84"/>
      <c r="J52" s="191">
        <f>D52</f>
        <v>10000</v>
      </c>
      <c r="K52" s="84"/>
      <c r="L52" s="84"/>
      <c r="M52" s="84"/>
      <c r="N52" s="84"/>
    </row>
    <row r="53" spans="1:14" ht="72">
      <c r="A53" s="83" t="s">
        <v>44</v>
      </c>
      <c r="B53" s="84" t="s">
        <v>45</v>
      </c>
      <c r="C53" s="85">
        <f>10000+8000+40000+40000+30000+150000</f>
        <v>278000</v>
      </c>
      <c r="D53" s="94">
        <f>250000+50000+50000+73000+50000+250000</f>
        <v>723000</v>
      </c>
      <c r="E53" s="93">
        <f t="shared" si="1"/>
        <v>445000</v>
      </c>
      <c r="F53" s="238">
        <f t="shared" si="2"/>
        <v>260.0719424460432</v>
      </c>
      <c r="G53" s="200" t="s">
        <v>445</v>
      </c>
      <c r="H53" s="239">
        <f t="shared" si="0"/>
        <v>723000</v>
      </c>
      <c r="I53" s="84"/>
      <c r="J53" s="191">
        <f>D53</f>
        <v>723000</v>
      </c>
      <c r="K53" s="84"/>
      <c r="L53" s="84"/>
      <c r="M53" s="84"/>
      <c r="N53" s="84"/>
    </row>
    <row r="54" spans="1:14" ht="36">
      <c r="A54" s="83" t="s">
        <v>16</v>
      </c>
      <c r="B54" s="84" t="s">
        <v>17</v>
      </c>
      <c r="C54" s="85">
        <f>19000+15000+15000+28000+5000</f>
        <v>82000</v>
      </c>
      <c r="D54" s="94">
        <f>17000+9000-1500</f>
        <v>24500</v>
      </c>
      <c r="E54" s="93">
        <f t="shared" si="1"/>
        <v>-57500</v>
      </c>
      <c r="F54" s="238">
        <f t="shared" si="2"/>
        <v>29.878048780487806</v>
      </c>
      <c r="G54" s="200" t="s">
        <v>535</v>
      </c>
      <c r="H54" s="239">
        <f t="shared" si="0"/>
        <v>24500</v>
      </c>
      <c r="I54" s="84"/>
      <c r="J54" s="191">
        <f>D54</f>
        <v>24500</v>
      </c>
      <c r="K54" s="84"/>
      <c r="L54" s="84"/>
      <c r="M54" s="84"/>
      <c r="N54" s="84"/>
    </row>
    <row r="55" spans="1:14" ht="18">
      <c r="A55" s="83" t="s">
        <v>53</v>
      </c>
      <c r="B55" s="84" t="s">
        <v>54</v>
      </c>
      <c r="C55" s="85">
        <f>1000</f>
        <v>1000</v>
      </c>
      <c r="D55" s="94">
        <v>2500</v>
      </c>
      <c r="E55" s="93">
        <f t="shared" si="1"/>
        <v>1500</v>
      </c>
      <c r="F55" s="238">
        <f t="shared" si="2"/>
        <v>250</v>
      </c>
      <c r="G55" s="200" t="s">
        <v>319</v>
      </c>
      <c r="H55" s="239">
        <f t="shared" si="0"/>
        <v>2500</v>
      </c>
      <c r="I55" s="84"/>
      <c r="J55" s="191">
        <f>D55</f>
        <v>2500</v>
      </c>
      <c r="K55" s="84"/>
      <c r="L55" s="84"/>
      <c r="M55" s="84"/>
      <c r="N55" s="84"/>
    </row>
    <row r="56" spans="1:14" ht="18">
      <c r="A56" s="83" t="s">
        <v>219</v>
      </c>
      <c r="B56" s="84" t="s">
        <v>220</v>
      </c>
      <c r="C56" s="85">
        <v>1000</v>
      </c>
      <c r="D56" s="94">
        <v>0</v>
      </c>
      <c r="E56" s="93">
        <f t="shared" si="1"/>
        <v>-1000</v>
      </c>
      <c r="F56" s="238">
        <f t="shared" si="2"/>
        <v>0</v>
      </c>
      <c r="G56" s="200" t="s">
        <v>320</v>
      </c>
      <c r="H56" s="239">
        <f t="shared" si="0"/>
        <v>0</v>
      </c>
      <c r="I56" s="84"/>
      <c r="J56" s="191">
        <f>D56</f>
        <v>0</v>
      </c>
      <c r="K56" s="84"/>
      <c r="L56" s="84"/>
      <c r="M56" s="84"/>
      <c r="N56" s="84"/>
    </row>
    <row r="57" spans="1:14" ht="18">
      <c r="A57" s="83"/>
      <c r="B57" s="84" t="s">
        <v>221</v>
      </c>
      <c r="C57" s="85"/>
      <c r="D57" s="94"/>
      <c r="E57" s="93">
        <f t="shared" si="1"/>
        <v>0</v>
      </c>
      <c r="F57" s="238"/>
      <c r="G57" s="200"/>
      <c r="H57" s="239">
        <f t="shared" si="0"/>
        <v>0</v>
      </c>
      <c r="I57" s="84"/>
      <c r="J57" s="84"/>
      <c r="K57" s="84"/>
      <c r="L57" s="84"/>
      <c r="M57" s="84"/>
      <c r="N57" s="84"/>
    </row>
    <row r="58" spans="1:14" ht="18">
      <c r="A58" s="83" t="s">
        <v>89</v>
      </c>
      <c r="B58" s="84" t="s">
        <v>98</v>
      </c>
      <c r="C58" s="85">
        <f>100000</f>
        <v>100000</v>
      </c>
      <c r="D58" s="94">
        <v>0</v>
      </c>
      <c r="E58" s="93">
        <f t="shared" si="1"/>
        <v>-100000</v>
      </c>
      <c r="F58" s="238">
        <f t="shared" si="2"/>
        <v>0</v>
      </c>
      <c r="G58" s="200" t="s">
        <v>438</v>
      </c>
      <c r="H58" s="239">
        <f t="shared" si="0"/>
        <v>0</v>
      </c>
      <c r="I58" s="191"/>
      <c r="J58" s="191"/>
      <c r="K58" s="191"/>
      <c r="L58" s="191"/>
      <c r="M58" s="191"/>
      <c r="N58" s="191">
        <f>D58</f>
        <v>0</v>
      </c>
    </row>
    <row r="59" spans="1:14" ht="18">
      <c r="A59" s="83" t="s">
        <v>73</v>
      </c>
      <c r="B59" s="84" t="s">
        <v>222</v>
      </c>
      <c r="C59" s="85">
        <v>17000</v>
      </c>
      <c r="D59" s="94">
        <v>7000</v>
      </c>
      <c r="E59" s="93">
        <f t="shared" si="1"/>
        <v>-10000</v>
      </c>
      <c r="F59" s="238">
        <f t="shared" si="2"/>
        <v>41.1764705882353</v>
      </c>
      <c r="G59" s="200" t="s">
        <v>387</v>
      </c>
      <c r="H59" s="239">
        <f t="shared" si="0"/>
        <v>0</v>
      </c>
      <c r="I59" s="191"/>
      <c r="J59" s="191"/>
      <c r="K59" s="191"/>
      <c r="L59" s="191"/>
      <c r="M59" s="191"/>
      <c r="N59" s="191">
        <f>D59</f>
        <v>7000</v>
      </c>
    </row>
    <row r="60" spans="1:14" ht="18">
      <c r="A60" s="83"/>
      <c r="B60" s="84"/>
      <c r="C60" s="85"/>
      <c r="D60" s="94"/>
      <c r="E60" s="93"/>
      <c r="F60" s="238"/>
      <c r="G60" s="200"/>
      <c r="H60" s="239">
        <f t="shared" si="0"/>
        <v>0</v>
      </c>
      <c r="I60" s="84"/>
      <c r="J60" s="84"/>
      <c r="K60" s="84"/>
      <c r="L60" s="84"/>
      <c r="M60" s="84"/>
      <c r="N60" s="84"/>
    </row>
    <row r="61" spans="1:14" ht="18">
      <c r="A61" s="95" t="s">
        <v>46</v>
      </c>
      <c r="B61" s="96" t="s">
        <v>47</v>
      </c>
      <c r="C61" s="97">
        <f>SUM(C62:C65)</f>
        <v>3000</v>
      </c>
      <c r="D61" s="98">
        <f>SUM(D62:D65)</f>
        <v>3000</v>
      </c>
      <c r="E61" s="93">
        <f t="shared" si="1"/>
        <v>0</v>
      </c>
      <c r="F61" s="238">
        <f t="shared" si="2"/>
        <v>100</v>
      </c>
      <c r="G61" s="200"/>
      <c r="H61" s="239">
        <f t="shared" si="0"/>
        <v>0</v>
      </c>
      <c r="I61" s="84"/>
      <c r="J61" s="84"/>
      <c r="K61" s="84"/>
      <c r="L61" s="84"/>
      <c r="M61" s="84"/>
      <c r="N61" s="84"/>
    </row>
    <row r="62" spans="1:14" ht="18">
      <c r="A62" s="83" t="s">
        <v>32</v>
      </c>
      <c r="B62" s="84" t="s">
        <v>33</v>
      </c>
      <c r="C62" s="85">
        <v>1000</v>
      </c>
      <c r="D62" s="94">
        <v>500</v>
      </c>
      <c r="E62" s="93">
        <f t="shared" si="1"/>
        <v>-500</v>
      </c>
      <c r="F62" s="238">
        <f t="shared" si="2"/>
        <v>50</v>
      </c>
      <c r="G62" s="200"/>
      <c r="H62" s="239">
        <f t="shared" si="0"/>
        <v>500</v>
      </c>
      <c r="I62" s="191">
        <f>D62</f>
        <v>500</v>
      </c>
      <c r="J62" s="84"/>
      <c r="K62" s="84"/>
      <c r="L62" s="84"/>
      <c r="M62" s="84"/>
      <c r="N62" s="84"/>
    </row>
    <row r="63" spans="1:14" ht="18">
      <c r="A63" s="83" t="s">
        <v>34</v>
      </c>
      <c r="B63" s="84" t="s">
        <v>35</v>
      </c>
      <c r="C63" s="85">
        <v>1000</v>
      </c>
      <c r="D63" s="94">
        <v>500</v>
      </c>
      <c r="E63" s="93">
        <f t="shared" si="1"/>
        <v>-500</v>
      </c>
      <c r="F63" s="238">
        <f t="shared" si="2"/>
        <v>50</v>
      </c>
      <c r="G63" s="200"/>
      <c r="H63" s="239">
        <f t="shared" si="0"/>
        <v>500</v>
      </c>
      <c r="I63" s="84"/>
      <c r="J63" s="191">
        <f>D63</f>
        <v>500</v>
      </c>
      <c r="K63" s="84"/>
      <c r="L63" s="84"/>
      <c r="M63" s="84"/>
      <c r="N63" s="84"/>
    </row>
    <row r="64" spans="1:14" ht="18">
      <c r="A64" s="83" t="s">
        <v>44</v>
      </c>
      <c r="B64" s="84" t="s">
        <v>45</v>
      </c>
      <c r="C64" s="85">
        <v>0</v>
      </c>
      <c r="D64" s="94">
        <v>1000</v>
      </c>
      <c r="E64" s="93">
        <f t="shared" si="1"/>
        <v>1000</v>
      </c>
      <c r="F64" s="238" t="e">
        <f t="shared" si="2"/>
        <v>#DIV/0!</v>
      </c>
      <c r="G64" s="200"/>
      <c r="H64" s="239">
        <f t="shared" si="0"/>
        <v>1000</v>
      </c>
      <c r="I64" s="84"/>
      <c r="J64" s="191">
        <f>D64</f>
        <v>1000</v>
      </c>
      <c r="K64" s="84"/>
      <c r="L64" s="84"/>
      <c r="M64" s="84"/>
      <c r="N64" s="84"/>
    </row>
    <row r="65" spans="1:14" ht="18">
      <c r="A65" s="99" t="s">
        <v>16</v>
      </c>
      <c r="B65" s="100" t="s">
        <v>17</v>
      </c>
      <c r="C65" s="101">
        <v>1000</v>
      </c>
      <c r="D65" s="102">
        <v>1000</v>
      </c>
      <c r="E65" s="93">
        <f t="shared" si="1"/>
        <v>0</v>
      </c>
      <c r="F65" s="238">
        <f t="shared" si="2"/>
        <v>100</v>
      </c>
      <c r="G65" s="200"/>
      <c r="H65" s="239">
        <f t="shared" si="0"/>
        <v>1000</v>
      </c>
      <c r="I65" s="84"/>
      <c r="J65" s="191">
        <f>D65</f>
        <v>1000</v>
      </c>
      <c r="K65" s="84"/>
      <c r="L65" s="84"/>
      <c r="M65" s="84"/>
      <c r="N65" s="84"/>
    </row>
    <row r="66" spans="1:14" ht="18">
      <c r="A66" s="89" t="s">
        <v>48</v>
      </c>
      <c r="B66" s="90" t="s">
        <v>49</v>
      </c>
      <c r="C66" s="91">
        <f>SUM(C68)</f>
        <v>147160</v>
      </c>
      <c r="D66" s="92">
        <f>SUM(D68)</f>
        <v>125000</v>
      </c>
      <c r="E66" s="93">
        <f t="shared" si="1"/>
        <v>-22160</v>
      </c>
      <c r="F66" s="238">
        <f t="shared" si="2"/>
        <v>84.94156020657788</v>
      </c>
      <c r="G66" s="200"/>
      <c r="H66" s="239">
        <f t="shared" si="0"/>
        <v>0</v>
      </c>
      <c r="I66" s="84"/>
      <c r="J66" s="84"/>
      <c r="K66" s="84"/>
      <c r="L66" s="84"/>
      <c r="M66" s="84"/>
      <c r="N66" s="84"/>
    </row>
    <row r="67" spans="1:14" ht="18">
      <c r="A67" s="83"/>
      <c r="B67" s="84"/>
      <c r="C67" s="85"/>
      <c r="D67" s="94"/>
      <c r="E67" s="93">
        <f t="shared" si="1"/>
        <v>0</v>
      </c>
      <c r="F67" s="238"/>
      <c r="G67" s="200"/>
      <c r="H67" s="239">
        <f t="shared" si="0"/>
        <v>0</v>
      </c>
      <c r="I67" s="84"/>
      <c r="J67" s="84"/>
      <c r="K67" s="84"/>
      <c r="L67" s="84"/>
      <c r="M67" s="84"/>
      <c r="N67" s="84"/>
    </row>
    <row r="68" spans="1:14" ht="18">
      <c r="A68" s="95" t="s">
        <v>50</v>
      </c>
      <c r="B68" s="96" t="s">
        <v>51</v>
      </c>
      <c r="C68" s="97">
        <f>SUM(C69:C75)</f>
        <v>147160</v>
      </c>
      <c r="D68" s="98">
        <f>SUM(D69:D75)</f>
        <v>125000</v>
      </c>
      <c r="E68" s="93">
        <f t="shared" si="1"/>
        <v>-22160</v>
      </c>
      <c r="F68" s="238">
        <f t="shared" si="2"/>
        <v>84.94156020657788</v>
      </c>
      <c r="G68" s="200"/>
      <c r="H68" s="239">
        <f t="shared" si="0"/>
        <v>0</v>
      </c>
      <c r="I68" s="84"/>
      <c r="J68" s="84"/>
      <c r="K68" s="84"/>
      <c r="L68" s="84"/>
      <c r="M68" s="84"/>
      <c r="N68" s="84"/>
    </row>
    <row r="69" spans="1:14" ht="18">
      <c r="A69" s="83" t="s">
        <v>32</v>
      </c>
      <c r="B69" s="84" t="s">
        <v>33</v>
      </c>
      <c r="C69" s="85">
        <f>12000</f>
        <v>12000</v>
      </c>
      <c r="D69" s="85">
        <f>2000+4000+10000</f>
        <v>16000</v>
      </c>
      <c r="E69" s="93">
        <f t="shared" si="1"/>
        <v>4000</v>
      </c>
      <c r="F69" s="238">
        <f t="shared" si="2"/>
        <v>133.33333333333334</v>
      </c>
      <c r="G69" s="200"/>
      <c r="H69" s="239">
        <f t="shared" si="0"/>
        <v>16000</v>
      </c>
      <c r="I69" s="191">
        <f>D69</f>
        <v>16000</v>
      </c>
      <c r="J69" s="84"/>
      <c r="K69" s="84"/>
      <c r="L69" s="84"/>
      <c r="M69" s="84"/>
      <c r="N69" s="84"/>
    </row>
    <row r="70" spans="1:14" ht="18">
      <c r="A70" s="83" t="s">
        <v>34</v>
      </c>
      <c r="B70" s="84" t="s">
        <v>35</v>
      </c>
      <c r="C70" s="85">
        <v>1000</v>
      </c>
      <c r="D70" s="85">
        <v>1000</v>
      </c>
      <c r="E70" s="93">
        <f t="shared" si="1"/>
        <v>0</v>
      </c>
      <c r="F70" s="238">
        <f t="shared" si="2"/>
        <v>100</v>
      </c>
      <c r="G70" s="200"/>
      <c r="H70" s="239">
        <f t="shared" si="0"/>
        <v>1000</v>
      </c>
      <c r="I70" s="84"/>
      <c r="J70" s="191">
        <f>D70</f>
        <v>1000</v>
      </c>
      <c r="K70" s="84"/>
      <c r="L70" s="84"/>
      <c r="M70" s="84"/>
      <c r="N70" s="84"/>
    </row>
    <row r="71" spans="1:14" ht="18">
      <c r="A71" s="83" t="s">
        <v>44</v>
      </c>
      <c r="B71" s="84" t="s">
        <v>45</v>
      </c>
      <c r="C71" s="85">
        <v>160</v>
      </c>
      <c r="D71" s="85">
        <f>200+50000</f>
        <v>50200</v>
      </c>
      <c r="E71" s="93">
        <f t="shared" si="1"/>
        <v>50040</v>
      </c>
      <c r="F71" s="238">
        <f t="shared" si="2"/>
        <v>31375</v>
      </c>
      <c r="G71" s="200" t="s">
        <v>532</v>
      </c>
      <c r="H71" s="239">
        <f t="shared" si="0"/>
        <v>50200</v>
      </c>
      <c r="I71" s="84"/>
      <c r="J71" s="191">
        <f>D71</f>
        <v>50200</v>
      </c>
      <c r="K71" s="84"/>
      <c r="L71" s="84"/>
      <c r="M71" s="84"/>
      <c r="N71" s="84"/>
    </row>
    <row r="72" spans="1:14" ht="18">
      <c r="A72" s="83" t="s">
        <v>16</v>
      </c>
      <c r="B72" s="84" t="s">
        <v>52</v>
      </c>
      <c r="C72" s="85">
        <v>127000</v>
      </c>
      <c r="D72" s="85">
        <f>-200-1000-3000+35000+2000+60000+1000-40000</f>
        <v>53800</v>
      </c>
      <c r="E72" s="93">
        <f t="shared" si="1"/>
        <v>-73200</v>
      </c>
      <c r="F72" s="238">
        <f t="shared" si="2"/>
        <v>42.36220472440945</v>
      </c>
      <c r="G72" s="200"/>
      <c r="H72" s="239">
        <f aca="true" t="shared" si="3" ref="H72:H135">SUM(I72:M72)</f>
        <v>53800</v>
      </c>
      <c r="I72" s="84"/>
      <c r="J72" s="191">
        <f>D72</f>
        <v>53800</v>
      </c>
      <c r="K72" s="84"/>
      <c r="L72" s="84"/>
      <c r="M72" s="84"/>
      <c r="N72" s="84"/>
    </row>
    <row r="73" spans="1:14" ht="18">
      <c r="A73" s="83" t="s">
        <v>240</v>
      </c>
      <c r="B73" s="84" t="s">
        <v>241</v>
      </c>
      <c r="C73" s="85">
        <v>4000</v>
      </c>
      <c r="D73" s="85">
        <v>1000</v>
      </c>
      <c r="E73" s="93">
        <f t="shared" si="1"/>
        <v>-3000</v>
      </c>
      <c r="F73" s="238">
        <f t="shared" si="2"/>
        <v>25</v>
      </c>
      <c r="G73" s="200"/>
      <c r="H73" s="239">
        <f t="shared" si="3"/>
        <v>1000</v>
      </c>
      <c r="I73" s="84"/>
      <c r="J73" s="191">
        <f>D73</f>
        <v>1000</v>
      </c>
      <c r="K73" s="84"/>
      <c r="L73" s="84"/>
      <c r="M73" s="84"/>
      <c r="N73" s="84"/>
    </row>
    <row r="74" spans="1:14" ht="18">
      <c r="A74" s="83"/>
      <c r="B74" s="84" t="s">
        <v>242</v>
      </c>
      <c r="C74" s="85"/>
      <c r="D74" s="85"/>
      <c r="E74" s="93"/>
      <c r="F74" s="238"/>
      <c r="G74" s="200"/>
      <c r="H74" s="239">
        <f t="shared" si="3"/>
        <v>0</v>
      </c>
      <c r="I74" s="84"/>
      <c r="J74" s="84"/>
      <c r="K74" s="84"/>
      <c r="L74" s="84"/>
      <c r="M74" s="84"/>
      <c r="N74" s="84"/>
    </row>
    <row r="75" spans="1:14" ht="18">
      <c r="A75" s="99" t="s">
        <v>53</v>
      </c>
      <c r="B75" s="100" t="s">
        <v>54</v>
      </c>
      <c r="C75" s="101">
        <v>3000</v>
      </c>
      <c r="D75" s="101">
        <v>3000</v>
      </c>
      <c r="E75" s="93">
        <f t="shared" si="1"/>
        <v>0</v>
      </c>
      <c r="F75" s="238">
        <f t="shared" si="2"/>
        <v>100</v>
      </c>
      <c r="G75" s="200"/>
      <c r="H75" s="239">
        <f t="shared" si="3"/>
        <v>3000</v>
      </c>
      <c r="I75" s="84"/>
      <c r="J75" s="191">
        <f>D75</f>
        <v>3000</v>
      </c>
      <c r="K75" s="84"/>
      <c r="L75" s="84"/>
      <c r="M75" s="84"/>
      <c r="N75" s="84"/>
    </row>
    <row r="76" spans="1:14" ht="18">
      <c r="A76" s="89" t="s">
        <v>344</v>
      </c>
      <c r="B76" s="90" t="s">
        <v>345</v>
      </c>
      <c r="C76" s="91">
        <f>C78</f>
        <v>0</v>
      </c>
      <c r="D76" s="91">
        <f>D78</f>
        <v>32120</v>
      </c>
      <c r="E76" s="93">
        <f>D76-C76</f>
        <v>32120</v>
      </c>
      <c r="F76" s="238" t="e">
        <f>D76*100/C76</f>
        <v>#DIV/0!</v>
      </c>
      <c r="G76" s="200" t="s">
        <v>347</v>
      </c>
      <c r="H76" s="239">
        <f t="shared" si="3"/>
        <v>0</v>
      </c>
      <c r="I76" s="84"/>
      <c r="J76" s="84"/>
      <c r="K76" s="84"/>
      <c r="L76" s="84"/>
      <c r="M76" s="84"/>
      <c r="N76" s="84"/>
    </row>
    <row r="77" spans="1:14" ht="18">
      <c r="A77" s="83"/>
      <c r="B77" s="84"/>
      <c r="C77" s="85"/>
      <c r="D77" s="94"/>
      <c r="E77" s="93"/>
      <c r="F77" s="238"/>
      <c r="G77" s="200" t="s">
        <v>363</v>
      </c>
      <c r="H77" s="239">
        <f t="shared" si="3"/>
        <v>0</v>
      </c>
      <c r="I77" s="84"/>
      <c r="J77" s="84"/>
      <c r="K77" s="84"/>
      <c r="L77" s="84"/>
      <c r="M77" s="84"/>
      <c r="N77" s="84"/>
    </row>
    <row r="78" spans="1:14" ht="18">
      <c r="A78" s="95" t="s">
        <v>346</v>
      </c>
      <c r="B78" s="96" t="s">
        <v>15</v>
      </c>
      <c r="C78" s="97">
        <f>SUM(C79:C79)</f>
        <v>0</v>
      </c>
      <c r="D78" s="98">
        <f>SUM(D79:D79)</f>
        <v>32120</v>
      </c>
      <c r="E78" s="93">
        <f>D78-C78</f>
        <v>32120</v>
      </c>
      <c r="F78" s="238" t="e">
        <f>D78*100/C78</f>
        <v>#DIV/0!</v>
      </c>
      <c r="G78" s="200"/>
      <c r="H78" s="239">
        <f t="shared" si="3"/>
        <v>0</v>
      </c>
      <c r="I78" s="84"/>
      <c r="J78" s="84"/>
      <c r="K78" s="84"/>
      <c r="L78" s="84"/>
      <c r="M78" s="84"/>
      <c r="N78" s="84"/>
    </row>
    <row r="79" spans="1:14" ht="18">
      <c r="A79" s="83" t="s">
        <v>538</v>
      </c>
      <c r="B79" s="84"/>
      <c r="C79" s="85">
        <v>0</v>
      </c>
      <c r="D79" s="94">
        <v>32120</v>
      </c>
      <c r="E79" s="93">
        <f>D79-C79</f>
        <v>32120</v>
      </c>
      <c r="F79" s="238" t="e">
        <f>D79*100/C79</f>
        <v>#DIV/0!</v>
      </c>
      <c r="G79" s="200"/>
      <c r="H79" s="239">
        <f t="shared" si="3"/>
        <v>0</v>
      </c>
      <c r="I79" s="191"/>
      <c r="J79" s="191"/>
      <c r="K79" s="191"/>
      <c r="L79" s="191"/>
      <c r="M79" s="191"/>
      <c r="N79" s="191">
        <f>D79</f>
        <v>32120</v>
      </c>
    </row>
    <row r="80" spans="1:14" ht="18">
      <c r="A80" s="243"/>
      <c r="B80" s="244"/>
      <c r="C80" s="245"/>
      <c r="D80" s="245"/>
      <c r="E80" s="246"/>
      <c r="F80" s="247"/>
      <c r="G80" s="200"/>
      <c r="H80" s="239">
        <f t="shared" si="3"/>
        <v>0</v>
      </c>
      <c r="I80" s="84"/>
      <c r="J80" s="84"/>
      <c r="K80" s="84"/>
      <c r="L80" s="84"/>
      <c r="M80" s="84"/>
      <c r="N80" s="84"/>
    </row>
    <row r="81" spans="1:14" ht="18">
      <c r="A81" s="89" t="s">
        <v>55</v>
      </c>
      <c r="B81" s="90" t="s">
        <v>56</v>
      </c>
      <c r="C81" s="91">
        <f>SUM(C83+C89+C97+C140+C133)</f>
        <v>1876080</v>
      </c>
      <c r="D81" s="92">
        <f>SUM(D83+D89+D97+D140+D133)</f>
        <v>1837098</v>
      </c>
      <c r="E81" s="93">
        <f t="shared" si="1"/>
        <v>-38982</v>
      </c>
      <c r="F81" s="238">
        <f t="shared" si="2"/>
        <v>97.9221568376615</v>
      </c>
      <c r="G81" s="200"/>
      <c r="H81" s="239">
        <f t="shared" si="3"/>
        <v>0</v>
      </c>
      <c r="I81" s="84"/>
      <c r="J81" s="84"/>
      <c r="K81" s="84"/>
      <c r="L81" s="84"/>
      <c r="M81" s="84"/>
      <c r="N81" s="84"/>
    </row>
    <row r="82" spans="1:14" ht="18">
      <c r="A82" s="83"/>
      <c r="B82" s="84"/>
      <c r="C82" s="85"/>
      <c r="D82" s="94"/>
      <c r="E82" s="93"/>
      <c r="F82" s="238"/>
      <c r="G82" s="200"/>
      <c r="H82" s="239">
        <f t="shared" si="3"/>
        <v>0</v>
      </c>
      <c r="I82" s="84"/>
      <c r="J82" s="84"/>
      <c r="K82" s="84"/>
      <c r="L82" s="84"/>
      <c r="M82" s="84"/>
      <c r="N82" s="84"/>
    </row>
    <row r="83" spans="1:14" ht="18">
      <c r="A83" s="95" t="s">
        <v>57</v>
      </c>
      <c r="B83" s="96" t="s">
        <v>58</v>
      </c>
      <c r="C83" s="97">
        <f>SUM(C84:C87)</f>
        <v>143230</v>
      </c>
      <c r="D83" s="98">
        <f>SUM(D84:D87)</f>
        <v>148042</v>
      </c>
      <c r="E83" s="93">
        <f t="shared" si="1"/>
        <v>4812</v>
      </c>
      <c r="F83" s="238">
        <f t="shared" si="2"/>
        <v>103.3596313621448</v>
      </c>
      <c r="G83" s="200" t="s">
        <v>335</v>
      </c>
      <c r="H83" s="239">
        <f t="shared" si="3"/>
        <v>0</v>
      </c>
      <c r="I83" s="84"/>
      <c r="J83" s="84"/>
      <c r="K83" s="84"/>
      <c r="L83" s="84"/>
      <c r="M83" s="84"/>
      <c r="N83" s="84"/>
    </row>
    <row r="84" spans="1:14" ht="18">
      <c r="A84" s="83" t="s">
        <v>22</v>
      </c>
      <c r="B84" s="84" t="s">
        <v>23</v>
      </c>
      <c r="C84" s="85">
        <v>113550</v>
      </c>
      <c r="D84" s="94">
        <f>54780+62624</f>
        <v>117404</v>
      </c>
      <c r="E84" s="93">
        <f aca="true" t="shared" si="4" ref="E84:E145">D84-C84</f>
        <v>3854</v>
      </c>
      <c r="F84" s="238">
        <f aca="true" t="shared" si="5" ref="F84:F145">D84*100/C84</f>
        <v>103.39409951563188</v>
      </c>
      <c r="G84" s="200" t="s">
        <v>336</v>
      </c>
      <c r="H84" s="239">
        <f t="shared" si="3"/>
        <v>117404</v>
      </c>
      <c r="I84" s="191">
        <f>D84</f>
        <v>117404</v>
      </c>
      <c r="J84" s="84"/>
      <c r="K84" s="84"/>
      <c r="L84" s="84"/>
      <c r="M84" s="84"/>
      <c r="N84" s="84"/>
    </row>
    <row r="85" spans="1:14" ht="18">
      <c r="A85" s="83" t="s">
        <v>24</v>
      </c>
      <c r="B85" s="84" t="s">
        <v>25</v>
      </c>
      <c r="C85" s="85">
        <v>8560</v>
      </c>
      <c r="D85" s="94">
        <v>8438</v>
      </c>
      <c r="E85" s="93">
        <f t="shared" si="4"/>
        <v>-122</v>
      </c>
      <c r="F85" s="238">
        <f t="shared" si="5"/>
        <v>98.57476635514018</v>
      </c>
      <c r="G85" s="200" t="s">
        <v>338</v>
      </c>
      <c r="H85" s="239">
        <f t="shared" si="3"/>
        <v>8438</v>
      </c>
      <c r="I85" s="191">
        <f>D85</f>
        <v>8438</v>
      </c>
      <c r="J85" s="84"/>
      <c r="K85" s="84"/>
      <c r="L85" s="84"/>
      <c r="M85" s="84"/>
      <c r="N85" s="84"/>
    </row>
    <row r="86" spans="1:14" ht="18">
      <c r="A86" s="83" t="s">
        <v>26</v>
      </c>
      <c r="B86" s="84" t="s">
        <v>27</v>
      </c>
      <c r="C86" s="85">
        <v>18170</v>
      </c>
      <c r="D86" s="94">
        <f>8322+10794</f>
        <v>19116</v>
      </c>
      <c r="E86" s="93">
        <f t="shared" si="4"/>
        <v>946</v>
      </c>
      <c r="F86" s="238">
        <f t="shared" si="5"/>
        <v>105.2063841496973</v>
      </c>
      <c r="G86" s="200" t="s">
        <v>339</v>
      </c>
      <c r="H86" s="239">
        <f t="shared" si="3"/>
        <v>19116</v>
      </c>
      <c r="I86" s="191">
        <f>D86</f>
        <v>19116</v>
      </c>
      <c r="J86" s="84"/>
      <c r="K86" s="84"/>
      <c r="L86" s="84"/>
      <c r="M86" s="84"/>
      <c r="N86" s="84"/>
    </row>
    <row r="87" spans="1:14" ht="18">
      <c r="A87" s="83" t="s">
        <v>28</v>
      </c>
      <c r="B87" s="84" t="s">
        <v>29</v>
      </c>
      <c r="C87" s="85">
        <v>2950</v>
      </c>
      <c r="D87" s="94">
        <f>1342+1742</f>
        <v>3084</v>
      </c>
      <c r="E87" s="93">
        <f t="shared" si="4"/>
        <v>134</v>
      </c>
      <c r="F87" s="238">
        <f t="shared" si="5"/>
        <v>104.54237288135593</v>
      </c>
      <c r="G87" s="200" t="s">
        <v>337</v>
      </c>
      <c r="H87" s="239">
        <f t="shared" si="3"/>
        <v>3084</v>
      </c>
      <c r="I87" s="191">
        <f>D87</f>
        <v>3084</v>
      </c>
      <c r="J87" s="84"/>
      <c r="K87" s="84"/>
      <c r="L87" s="84"/>
      <c r="M87" s="84"/>
      <c r="N87" s="84"/>
    </row>
    <row r="88" spans="1:14" ht="18">
      <c r="A88" s="83"/>
      <c r="B88" s="84"/>
      <c r="C88" s="85"/>
      <c r="D88" s="94"/>
      <c r="E88" s="93"/>
      <c r="F88" s="238"/>
      <c r="G88" s="200"/>
      <c r="H88" s="239">
        <f t="shared" si="3"/>
        <v>0</v>
      </c>
      <c r="I88" s="84"/>
      <c r="J88" s="84"/>
      <c r="K88" s="84"/>
      <c r="L88" s="84"/>
      <c r="M88" s="84"/>
      <c r="N88" s="84"/>
    </row>
    <row r="89" spans="1:14" ht="18">
      <c r="A89" s="95" t="s">
        <v>60</v>
      </c>
      <c r="B89" s="96" t="s">
        <v>61</v>
      </c>
      <c r="C89" s="97">
        <f>SUM(C90:C95)</f>
        <v>36830</v>
      </c>
      <c r="D89" s="98">
        <f>SUM(D90:D95)</f>
        <v>37930</v>
      </c>
      <c r="E89" s="93">
        <f t="shared" si="4"/>
        <v>1100</v>
      </c>
      <c r="F89" s="238">
        <f t="shared" si="5"/>
        <v>102.98669562856367</v>
      </c>
      <c r="G89" s="200"/>
      <c r="H89" s="239">
        <f t="shared" si="3"/>
        <v>0</v>
      </c>
      <c r="I89" s="84"/>
      <c r="J89" s="84"/>
      <c r="K89" s="84"/>
      <c r="L89" s="84"/>
      <c r="M89" s="84"/>
      <c r="N89" s="84"/>
    </row>
    <row r="90" spans="1:14" ht="18">
      <c r="A90" s="83" t="s">
        <v>62</v>
      </c>
      <c r="B90" s="84" t="s">
        <v>63</v>
      </c>
      <c r="C90" s="85">
        <v>34000</v>
      </c>
      <c r="D90" s="94">
        <v>35100</v>
      </c>
      <c r="E90" s="93">
        <f t="shared" si="4"/>
        <v>1100</v>
      </c>
      <c r="F90" s="238">
        <f t="shared" si="5"/>
        <v>103.23529411764706</v>
      </c>
      <c r="G90" s="200"/>
      <c r="H90" s="239">
        <f t="shared" si="3"/>
        <v>35100</v>
      </c>
      <c r="I90" s="84"/>
      <c r="J90" s="84"/>
      <c r="K90" s="84"/>
      <c r="L90" s="191">
        <f>D90</f>
        <v>35100</v>
      </c>
      <c r="M90" s="84"/>
      <c r="N90" s="84"/>
    </row>
    <row r="91" spans="1:14" ht="18">
      <c r="A91" s="83" t="s">
        <v>34</v>
      </c>
      <c r="B91" s="84" t="s">
        <v>35</v>
      </c>
      <c r="C91" s="85">
        <v>1500</v>
      </c>
      <c r="D91" s="85">
        <v>1500</v>
      </c>
      <c r="E91" s="93">
        <f t="shared" si="4"/>
        <v>0</v>
      </c>
      <c r="F91" s="238">
        <f t="shared" si="5"/>
        <v>100</v>
      </c>
      <c r="G91" s="200"/>
      <c r="H91" s="239">
        <f t="shared" si="3"/>
        <v>1500</v>
      </c>
      <c r="I91" s="84"/>
      <c r="J91" s="191">
        <f>D91</f>
        <v>1500</v>
      </c>
      <c r="K91" s="84"/>
      <c r="L91" s="84"/>
      <c r="M91" s="84"/>
      <c r="N91" s="84"/>
    </row>
    <row r="92" spans="1:14" ht="18">
      <c r="A92" s="83" t="s">
        <v>16</v>
      </c>
      <c r="B92" s="84" t="s">
        <v>17</v>
      </c>
      <c r="C92" s="85">
        <v>680</v>
      </c>
      <c r="D92" s="85">
        <v>680</v>
      </c>
      <c r="E92" s="93">
        <f t="shared" si="4"/>
        <v>0</v>
      </c>
      <c r="F92" s="238">
        <f t="shared" si="5"/>
        <v>100</v>
      </c>
      <c r="G92" s="200"/>
      <c r="H92" s="239">
        <f t="shared" si="3"/>
        <v>680</v>
      </c>
      <c r="I92" s="84"/>
      <c r="J92" s="191">
        <f>D92</f>
        <v>680</v>
      </c>
      <c r="K92" s="84"/>
      <c r="L92" s="84"/>
      <c r="M92" s="84"/>
      <c r="N92" s="84"/>
    </row>
    <row r="93" spans="1:14" ht="18">
      <c r="A93" s="83" t="s">
        <v>36</v>
      </c>
      <c r="B93" s="84" t="s">
        <v>37</v>
      </c>
      <c r="C93" s="85">
        <v>300</v>
      </c>
      <c r="D93" s="85">
        <v>300</v>
      </c>
      <c r="E93" s="93">
        <f t="shared" si="4"/>
        <v>0</v>
      </c>
      <c r="F93" s="238">
        <f t="shared" si="5"/>
        <v>100</v>
      </c>
      <c r="G93" s="200"/>
      <c r="H93" s="239">
        <f t="shared" si="3"/>
        <v>300</v>
      </c>
      <c r="I93" s="84"/>
      <c r="J93" s="191">
        <f>D93</f>
        <v>300</v>
      </c>
      <c r="K93" s="84"/>
      <c r="L93" s="84"/>
      <c r="M93" s="84"/>
      <c r="N93" s="84"/>
    </row>
    <row r="94" spans="1:14" ht="18">
      <c r="A94" s="83" t="s">
        <v>223</v>
      </c>
      <c r="B94" s="84" t="s">
        <v>224</v>
      </c>
      <c r="C94" s="85">
        <v>350</v>
      </c>
      <c r="D94" s="85">
        <v>350</v>
      </c>
      <c r="E94" s="93">
        <f t="shared" si="4"/>
        <v>0</v>
      </c>
      <c r="F94" s="238">
        <f t="shared" si="5"/>
        <v>100</v>
      </c>
      <c r="G94" s="200"/>
      <c r="H94" s="239">
        <f t="shared" si="3"/>
        <v>350</v>
      </c>
      <c r="I94" s="84"/>
      <c r="J94" s="191">
        <f>D94</f>
        <v>350</v>
      </c>
      <c r="K94" s="84"/>
      <c r="L94" s="84"/>
      <c r="M94" s="84"/>
      <c r="N94" s="84"/>
    </row>
    <row r="95" spans="1:14" ht="18">
      <c r="A95" s="83"/>
      <c r="B95" s="84" t="s">
        <v>225</v>
      </c>
      <c r="C95" s="85"/>
      <c r="D95" s="94"/>
      <c r="E95" s="93"/>
      <c r="F95" s="238"/>
      <c r="G95" s="200"/>
      <c r="H95" s="239">
        <f t="shared" si="3"/>
        <v>0</v>
      </c>
      <c r="I95" s="84"/>
      <c r="J95" s="84"/>
      <c r="K95" s="84"/>
      <c r="L95" s="84"/>
      <c r="M95" s="84"/>
      <c r="N95" s="84"/>
    </row>
    <row r="96" spans="1:14" ht="18">
      <c r="A96" s="83"/>
      <c r="B96" s="84"/>
      <c r="C96" s="85"/>
      <c r="D96" s="94"/>
      <c r="E96" s="93"/>
      <c r="F96" s="238"/>
      <c r="G96" s="200"/>
      <c r="H96" s="239">
        <f t="shared" si="3"/>
        <v>0</v>
      </c>
      <c r="I96" s="84"/>
      <c r="J96" s="84"/>
      <c r="K96" s="84"/>
      <c r="L96" s="84"/>
      <c r="M96" s="84"/>
      <c r="N96" s="84"/>
    </row>
    <row r="97" spans="1:14" ht="18">
      <c r="A97" s="95" t="s">
        <v>64</v>
      </c>
      <c r="B97" s="96" t="s">
        <v>65</v>
      </c>
      <c r="C97" s="97">
        <f>SUM(C98:C130)</f>
        <v>1614220</v>
      </c>
      <c r="D97" s="98">
        <f>SUM(D98:D130)</f>
        <v>1608326</v>
      </c>
      <c r="E97" s="93">
        <f t="shared" si="4"/>
        <v>-5894</v>
      </c>
      <c r="F97" s="238">
        <f t="shared" si="5"/>
        <v>99.63487009205684</v>
      </c>
      <c r="G97" s="200"/>
      <c r="H97" s="239">
        <f t="shared" si="3"/>
        <v>0</v>
      </c>
      <c r="I97" s="84"/>
      <c r="J97" s="84"/>
      <c r="K97" s="84"/>
      <c r="L97" s="84"/>
      <c r="M97" s="84"/>
      <c r="N97" s="84"/>
    </row>
    <row r="98" spans="1:14" ht="18">
      <c r="A98" s="103" t="s">
        <v>231</v>
      </c>
      <c r="B98" s="104" t="s">
        <v>232</v>
      </c>
      <c r="C98" s="105">
        <v>1500</v>
      </c>
      <c r="D98" s="105">
        <v>1500</v>
      </c>
      <c r="E98" s="93">
        <f t="shared" si="4"/>
        <v>0</v>
      </c>
      <c r="F98" s="238">
        <f t="shared" si="5"/>
        <v>100</v>
      </c>
      <c r="G98" s="200"/>
      <c r="H98" s="239">
        <f t="shared" si="3"/>
        <v>1500</v>
      </c>
      <c r="I98" s="84"/>
      <c r="J98" s="84"/>
      <c r="K98" s="84"/>
      <c r="L98" s="191">
        <f>D98</f>
        <v>1500</v>
      </c>
      <c r="M98" s="84"/>
      <c r="N98" s="84"/>
    </row>
    <row r="99" spans="1:14" ht="18">
      <c r="A99" s="83" t="s">
        <v>22</v>
      </c>
      <c r="B99" s="84" t="s">
        <v>66</v>
      </c>
      <c r="C99" s="85">
        <v>933740</v>
      </c>
      <c r="D99" s="85">
        <f>866845+40000</f>
        <v>906845</v>
      </c>
      <c r="E99" s="93">
        <f t="shared" si="4"/>
        <v>-26895</v>
      </c>
      <c r="F99" s="238">
        <f t="shared" si="5"/>
        <v>97.11964786771478</v>
      </c>
      <c r="G99" s="200"/>
      <c r="H99" s="239">
        <f t="shared" si="3"/>
        <v>906845</v>
      </c>
      <c r="I99" s="191">
        <f>D99</f>
        <v>906845</v>
      </c>
      <c r="J99" s="84"/>
      <c r="K99" s="84"/>
      <c r="L99" s="84"/>
      <c r="M99" s="84"/>
      <c r="N99" s="84"/>
    </row>
    <row r="100" spans="1:14" ht="18">
      <c r="A100" s="83" t="s">
        <v>24</v>
      </c>
      <c r="B100" s="84" t="s">
        <v>67</v>
      </c>
      <c r="C100" s="85">
        <v>63650</v>
      </c>
      <c r="D100" s="85">
        <v>65386</v>
      </c>
      <c r="E100" s="93">
        <f t="shared" si="4"/>
        <v>1736</v>
      </c>
      <c r="F100" s="238">
        <f t="shared" si="5"/>
        <v>102.72741555380989</v>
      </c>
      <c r="G100" s="200"/>
      <c r="H100" s="239">
        <f t="shared" si="3"/>
        <v>65386</v>
      </c>
      <c r="I100" s="191">
        <f>D100</f>
        <v>65386</v>
      </c>
      <c r="J100" s="84"/>
      <c r="K100" s="84"/>
      <c r="L100" s="84"/>
      <c r="M100" s="84"/>
      <c r="N100" s="84"/>
    </row>
    <row r="101" spans="1:14" ht="18">
      <c r="A101" s="83" t="s">
        <v>26</v>
      </c>
      <c r="B101" s="84" t="s">
        <v>27</v>
      </c>
      <c r="C101" s="85">
        <v>151630</v>
      </c>
      <c r="D101" s="85">
        <f>169491+6076</f>
        <v>175567</v>
      </c>
      <c r="E101" s="93">
        <f t="shared" si="4"/>
        <v>23937</v>
      </c>
      <c r="F101" s="238">
        <f t="shared" si="5"/>
        <v>115.78645386796808</v>
      </c>
      <c r="G101" s="200"/>
      <c r="H101" s="239">
        <f t="shared" si="3"/>
        <v>175567</v>
      </c>
      <c r="I101" s="191">
        <f>D101</f>
        <v>175567</v>
      </c>
      <c r="J101" s="84"/>
      <c r="K101" s="84"/>
      <c r="L101" s="84"/>
      <c r="M101" s="84"/>
      <c r="N101" s="84"/>
    </row>
    <row r="102" spans="1:14" ht="18">
      <c r="A102" s="83" t="s">
        <v>28</v>
      </c>
      <c r="B102" s="84" t="s">
        <v>29</v>
      </c>
      <c r="C102" s="85">
        <v>24500</v>
      </c>
      <c r="D102" s="85">
        <f>27338+980</f>
        <v>28318</v>
      </c>
      <c r="E102" s="93">
        <f t="shared" si="4"/>
        <v>3818</v>
      </c>
      <c r="F102" s="238">
        <f t="shared" si="5"/>
        <v>115.58367346938776</v>
      </c>
      <c r="G102" s="200"/>
      <c r="H102" s="239">
        <f t="shared" si="3"/>
        <v>28318</v>
      </c>
      <c r="I102" s="191">
        <f>D102</f>
        <v>28318</v>
      </c>
      <c r="J102" s="84"/>
      <c r="K102" s="84"/>
      <c r="L102" s="84"/>
      <c r="M102" s="84"/>
      <c r="N102" s="84"/>
    </row>
    <row r="103" spans="1:14" ht="18">
      <c r="A103" s="83" t="s">
        <v>30</v>
      </c>
      <c r="B103" s="84" t="s">
        <v>59</v>
      </c>
      <c r="C103" s="85">
        <v>38000</v>
      </c>
      <c r="D103" s="85">
        <v>30000</v>
      </c>
      <c r="E103" s="93">
        <f t="shared" si="4"/>
        <v>-8000</v>
      </c>
      <c r="F103" s="238">
        <f t="shared" si="5"/>
        <v>78.94736842105263</v>
      </c>
      <c r="G103" s="200"/>
      <c r="H103" s="239">
        <f t="shared" si="3"/>
        <v>30000</v>
      </c>
      <c r="I103" s="84"/>
      <c r="J103" s="191">
        <f>D103</f>
        <v>30000</v>
      </c>
      <c r="K103" s="84"/>
      <c r="L103" s="84"/>
      <c r="M103" s="84"/>
      <c r="N103" s="84"/>
    </row>
    <row r="104" spans="1:14" ht="18">
      <c r="A104" s="83" t="s">
        <v>32</v>
      </c>
      <c r="B104" s="84" t="s">
        <v>33</v>
      </c>
      <c r="C104" s="85">
        <v>72000</v>
      </c>
      <c r="D104" s="85">
        <v>106230</v>
      </c>
      <c r="E104" s="93">
        <f t="shared" si="4"/>
        <v>34230</v>
      </c>
      <c r="F104" s="238">
        <f t="shared" si="5"/>
        <v>147.54166666666666</v>
      </c>
      <c r="G104" s="200"/>
      <c r="H104" s="239">
        <f t="shared" si="3"/>
        <v>106230</v>
      </c>
      <c r="I104" s="191">
        <f>D104</f>
        <v>106230</v>
      </c>
      <c r="J104" s="84"/>
      <c r="K104" s="84"/>
      <c r="L104" s="84"/>
      <c r="M104" s="84"/>
      <c r="N104" s="84"/>
    </row>
    <row r="105" spans="1:14" ht="18">
      <c r="A105" s="83" t="s">
        <v>34</v>
      </c>
      <c r="B105" s="84" t="s">
        <v>35</v>
      </c>
      <c r="C105" s="85">
        <f>55000+5000</f>
        <v>60000</v>
      </c>
      <c r="D105" s="85">
        <v>60000</v>
      </c>
      <c r="E105" s="93">
        <f t="shared" si="4"/>
        <v>0</v>
      </c>
      <c r="F105" s="238">
        <f t="shared" si="5"/>
        <v>100</v>
      </c>
      <c r="G105" s="200"/>
      <c r="H105" s="239">
        <f t="shared" si="3"/>
        <v>60000</v>
      </c>
      <c r="I105" s="84"/>
      <c r="J105" s="191">
        <f aca="true" t="shared" si="6" ref="J105:J111">D105</f>
        <v>60000</v>
      </c>
      <c r="K105" s="84"/>
      <c r="L105" s="84"/>
      <c r="M105" s="84"/>
      <c r="N105" s="84"/>
    </row>
    <row r="106" spans="1:14" ht="18">
      <c r="A106" s="83" t="s">
        <v>68</v>
      </c>
      <c r="B106" s="84" t="s">
        <v>69</v>
      </c>
      <c r="C106" s="85">
        <v>25000</v>
      </c>
      <c r="D106" s="85">
        <v>26300</v>
      </c>
      <c r="E106" s="93">
        <f t="shared" si="4"/>
        <v>1300</v>
      </c>
      <c r="F106" s="238">
        <f t="shared" si="5"/>
        <v>105.2</v>
      </c>
      <c r="G106" s="200"/>
      <c r="H106" s="239">
        <f t="shared" si="3"/>
        <v>26300</v>
      </c>
      <c r="I106" s="84"/>
      <c r="J106" s="191">
        <f t="shared" si="6"/>
        <v>26300</v>
      </c>
      <c r="K106" s="84"/>
      <c r="L106" s="84"/>
      <c r="M106" s="84"/>
      <c r="N106" s="84"/>
    </row>
    <row r="107" spans="1:14" ht="18">
      <c r="A107" s="83" t="s">
        <v>44</v>
      </c>
      <c r="B107" s="84" t="s">
        <v>45</v>
      </c>
      <c r="C107" s="85">
        <v>100</v>
      </c>
      <c r="D107" s="85">
        <v>100</v>
      </c>
      <c r="E107" s="93">
        <f t="shared" si="4"/>
        <v>0</v>
      </c>
      <c r="F107" s="238">
        <f t="shared" si="5"/>
        <v>100</v>
      </c>
      <c r="G107" s="200" t="s">
        <v>309</v>
      </c>
      <c r="H107" s="239">
        <f t="shared" si="3"/>
        <v>100</v>
      </c>
      <c r="I107" s="84"/>
      <c r="J107" s="191">
        <f t="shared" si="6"/>
        <v>100</v>
      </c>
      <c r="K107" s="84"/>
      <c r="L107" s="84"/>
      <c r="M107" s="84"/>
      <c r="N107" s="84"/>
    </row>
    <row r="108" spans="1:14" ht="18">
      <c r="A108" s="83" t="s">
        <v>70</v>
      </c>
      <c r="B108" s="84" t="s">
        <v>71</v>
      </c>
      <c r="C108" s="85">
        <v>3000</v>
      </c>
      <c r="D108" s="85">
        <v>10000</v>
      </c>
      <c r="E108" s="93">
        <f t="shared" si="4"/>
        <v>7000</v>
      </c>
      <c r="F108" s="238">
        <f t="shared" si="5"/>
        <v>333.3333333333333</v>
      </c>
      <c r="G108" s="200"/>
      <c r="H108" s="239">
        <f t="shared" si="3"/>
        <v>10000</v>
      </c>
      <c r="I108" s="84"/>
      <c r="J108" s="191">
        <f t="shared" si="6"/>
        <v>10000</v>
      </c>
      <c r="K108" s="84"/>
      <c r="L108" s="84"/>
      <c r="M108" s="84"/>
      <c r="N108" s="84"/>
    </row>
    <row r="109" spans="1:14" ht="18">
      <c r="A109" s="83" t="s">
        <v>16</v>
      </c>
      <c r="B109" s="84" t="s">
        <v>17</v>
      </c>
      <c r="C109" s="85">
        <v>90000</v>
      </c>
      <c r="D109" s="85">
        <v>83100</v>
      </c>
      <c r="E109" s="93">
        <f t="shared" si="4"/>
        <v>-6900</v>
      </c>
      <c r="F109" s="238">
        <f t="shared" si="5"/>
        <v>92.33333333333333</v>
      </c>
      <c r="G109" s="200" t="s">
        <v>292</v>
      </c>
      <c r="H109" s="239">
        <f t="shared" si="3"/>
        <v>83100</v>
      </c>
      <c r="I109" s="84"/>
      <c r="J109" s="191">
        <f t="shared" si="6"/>
        <v>83100</v>
      </c>
      <c r="K109" s="84"/>
      <c r="L109" s="84"/>
      <c r="M109" s="84"/>
      <c r="N109" s="84"/>
    </row>
    <row r="110" spans="1:14" ht="18">
      <c r="A110" s="83" t="s">
        <v>177</v>
      </c>
      <c r="B110" s="84" t="s">
        <v>178</v>
      </c>
      <c r="C110" s="85">
        <v>5000</v>
      </c>
      <c r="D110" s="85">
        <v>5000</v>
      </c>
      <c r="E110" s="93">
        <f t="shared" si="4"/>
        <v>0</v>
      </c>
      <c r="F110" s="238">
        <f t="shared" si="5"/>
        <v>100</v>
      </c>
      <c r="G110" s="200"/>
      <c r="H110" s="239">
        <f t="shared" si="3"/>
        <v>5000</v>
      </c>
      <c r="I110" s="84"/>
      <c r="J110" s="191">
        <f t="shared" si="6"/>
        <v>5000</v>
      </c>
      <c r="K110" s="84"/>
      <c r="L110" s="84"/>
      <c r="M110" s="84"/>
      <c r="N110" s="84"/>
    </row>
    <row r="111" spans="1:14" ht="18">
      <c r="A111" s="83" t="s">
        <v>211</v>
      </c>
      <c r="B111" s="84" t="s">
        <v>212</v>
      </c>
      <c r="C111" s="85">
        <v>4500</v>
      </c>
      <c r="D111" s="85">
        <v>4500</v>
      </c>
      <c r="E111" s="93">
        <f t="shared" si="4"/>
        <v>0</v>
      </c>
      <c r="F111" s="238">
        <f t="shared" si="5"/>
        <v>100</v>
      </c>
      <c r="G111" s="200"/>
      <c r="H111" s="239">
        <f t="shared" si="3"/>
        <v>4500</v>
      </c>
      <c r="I111" s="84"/>
      <c r="J111" s="191">
        <f t="shared" si="6"/>
        <v>4500</v>
      </c>
      <c r="K111" s="84"/>
      <c r="L111" s="84"/>
      <c r="M111" s="84"/>
      <c r="N111" s="84"/>
    </row>
    <row r="112" spans="1:14" ht="18">
      <c r="A112" s="83"/>
      <c r="B112" s="84" t="s">
        <v>213</v>
      </c>
      <c r="C112" s="85"/>
      <c r="D112" s="85"/>
      <c r="E112" s="93"/>
      <c r="F112" s="238"/>
      <c r="G112" s="200"/>
      <c r="H112" s="239">
        <f t="shared" si="3"/>
        <v>0</v>
      </c>
      <c r="I112" s="84"/>
      <c r="J112" s="84"/>
      <c r="K112" s="84"/>
      <c r="L112" s="84"/>
      <c r="M112" s="84"/>
      <c r="N112" s="84"/>
    </row>
    <row r="113" spans="1:14" ht="18">
      <c r="A113" s="83" t="s">
        <v>214</v>
      </c>
      <c r="B113" s="84" t="s">
        <v>212</v>
      </c>
      <c r="C113" s="85">
        <v>14000</v>
      </c>
      <c r="D113" s="85">
        <v>14000</v>
      </c>
      <c r="E113" s="93">
        <f t="shared" si="4"/>
        <v>0</v>
      </c>
      <c r="F113" s="238">
        <f t="shared" si="5"/>
        <v>100</v>
      </c>
      <c r="G113" s="200"/>
      <c r="H113" s="239">
        <f t="shared" si="3"/>
        <v>14000</v>
      </c>
      <c r="I113" s="84"/>
      <c r="J113" s="191">
        <f>D113</f>
        <v>14000</v>
      </c>
      <c r="K113" s="84"/>
      <c r="L113" s="84"/>
      <c r="M113" s="84"/>
      <c r="N113" s="84"/>
    </row>
    <row r="114" spans="1:14" ht="18">
      <c r="A114" s="83"/>
      <c r="B114" s="84" t="s">
        <v>215</v>
      </c>
      <c r="C114" s="85"/>
      <c r="D114" s="85"/>
      <c r="E114" s="93"/>
      <c r="F114" s="238"/>
      <c r="G114" s="200"/>
      <c r="H114" s="239">
        <f t="shared" si="3"/>
        <v>0</v>
      </c>
      <c r="I114" s="84"/>
      <c r="J114" s="84"/>
      <c r="K114" s="84"/>
      <c r="L114" s="84"/>
      <c r="M114" s="84"/>
      <c r="N114" s="84"/>
    </row>
    <row r="115" spans="1:14" ht="18">
      <c r="A115" s="83" t="s">
        <v>240</v>
      </c>
      <c r="B115" s="84" t="s">
        <v>241</v>
      </c>
      <c r="C115" s="85">
        <v>500</v>
      </c>
      <c r="D115" s="85">
        <v>500</v>
      </c>
      <c r="E115" s="93">
        <f t="shared" si="4"/>
        <v>0</v>
      </c>
      <c r="F115" s="238">
        <f t="shared" si="5"/>
        <v>100</v>
      </c>
      <c r="G115" s="200"/>
      <c r="H115" s="239">
        <f t="shared" si="3"/>
        <v>500</v>
      </c>
      <c r="I115" s="84"/>
      <c r="J115" s="191">
        <f>D115</f>
        <v>500</v>
      </c>
      <c r="K115" s="84"/>
      <c r="L115" s="84"/>
      <c r="M115" s="84"/>
      <c r="N115" s="84"/>
    </row>
    <row r="116" spans="1:14" ht="18">
      <c r="A116" s="83"/>
      <c r="B116" s="84" t="s">
        <v>242</v>
      </c>
      <c r="C116" s="85"/>
      <c r="D116" s="85"/>
      <c r="E116" s="93"/>
      <c r="F116" s="238"/>
      <c r="G116" s="200"/>
      <c r="H116" s="239">
        <f t="shared" si="3"/>
        <v>0</v>
      </c>
      <c r="I116" s="84"/>
      <c r="J116" s="84"/>
      <c r="K116" s="84"/>
      <c r="L116" s="84"/>
      <c r="M116" s="84"/>
      <c r="N116" s="84"/>
    </row>
    <row r="117" spans="1:14" ht="18">
      <c r="A117" s="83" t="s">
        <v>36</v>
      </c>
      <c r="B117" s="84" t="s">
        <v>37</v>
      </c>
      <c r="C117" s="85">
        <v>10000</v>
      </c>
      <c r="D117" s="85">
        <v>10000</v>
      </c>
      <c r="E117" s="93">
        <f t="shared" si="4"/>
        <v>0</v>
      </c>
      <c r="F117" s="238">
        <f t="shared" si="5"/>
        <v>100</v>
      </c>
      <c r="G117" s="200"/>
      <c r="H117" s="239">
        <f t="shared" si="3"/>
        <v>10000</v>
      </c>
      <c r="I117" s="84"/>
      <c r="J117" s="191">
        <f>D117</f>
        <v>10000</v>
      </c>
      <c r="K117" s="84"/>
      <c r="L117" s="84"/>
      <c r="M117" s="84"/>
      <c r="N117" s="84"/>
    </row>
    <row r="118" spans="1:14" ht="18">
      <c r="A118" s="83" t="s">
        <v>53</v>
      </c>
      <c r="B118" s="84" t="s">
        <v>54</v>
      </c>
      <c r="C118" s="85">
        <f>7000-1500</f>
        <v>5500</v>
      </c>
      <c r="D118" s="85">
        <f>7000-1500</f>
        <v>5500</v>
      </c>
      <c r="E118" s="93">
        <f t="shared" si="4"/>
        <v>0</v>
      </c>
      <c r="F118" s="238">
        <f t="shared" si="5"/>
        <v>100</v>
      </c>
      <c r="G118" s="200"/>
      <c r="H118" s="239">
        <f t="shared" si="3"/>
        <v>5500</v>
      </c>
      <c r="I118" s="84"/>
      <c r="J118" s="191">
        <f>D118</f>
        <v>5500</v>
      </c>
      <c r="K118" s="84"/>
      <c r="L118" s="84"/>
      <c r="M118" s="84"/>
      <c r="N118" s="84"/>
    </row>
    <row r="119" spans="1:14" ht="18">
      <c r="A119" s="83" t="s">
        <v>38</v>
      </c>
      <c r="B119" s="84" t="s">
        <v>72</v>
      </c>
      <c r="C119" s="85">
        <v>30000</v>
      </c>
      <c r="D119" s="85">
        <v>32000</v>
      </c>
      <c r="E119" s="93">
        <f t="shared" si="4"/>
        <v>2000</v>
      </c>
      <c r="F119" s="238">
        <f t="shared" si="5"/>
        <v>106.66666666666667</v>
      </c>
      <c r="G119" s="200"/>
      <c r="H119" s="239">
        <f t="shared" si="3"/>
        <v>32000</v>
      </c>
      <c r="I119" s="84"/>
      <c r="J119" s="191">
        <f>D119</f>
        <v>32000</v>
      </c>
      <c r="K119" s="84"/>
      <c r="L119" s="84"/>
      <c r="M119" s="84"/>
      <c r="N119" s="84"/>
    </row>
    <row r="120" spans="1:14" ht="18">
      <c r="A120" s="83" t="s">
        <v>243</v>
      </c>
      <c r="B120" s="84" t="s">
        <v>244</v>
      </c>
      <c r="C120" s="85">
        <v>500</v>
      </c>
      <c r="D120" s="85">
        <v>500</v>
      </c>
      <c r="E120" s="93">
        <f t="shared" si="4"/>
        <v>0</v>
      </c>
      <c r="F120" s="238">
        <f t="shared" si="5"/>
        <v>100</v>
      </c>
      <c r="G120" s="200"/>
      <c r="H120" s="239">
        <f t="shared" si="3"/>
        <v>500</v>
      </c>
      <c r="I120" s="84"/>
      <c r="J120" s="191">
        <f>D120</f>
        <v>500</v>
      </c>
      <c r="K120" s="84"/>
      <c r="L120" s="84"/>
      <c r="M120" s="84"/>
      <c r="N120" s="84"/>
    </row>
    <row r="121" spans="1:14" ht="18">
      <c r="A121" s="83" t="s">
        <v>254</v>
      </c>
      <c r="B121" s="84" t="s">
        <v>255</v>
      </c>
      <c r="C121" s="85">
        <v>500</v>
      </c>
      <c r="D121" s="85">
        <v>500</v>
      </c>
      <c r="E121" s="93">
        <f t="shared" si="4"/>
        <v>0</v>
      </c>
      <c r="F121" s="238">
        <f t="shared" si="5"/>
        <v>100</v>
      </c>
      <c r="G121" s="200"/>
      <c r="H121" s="239">
        <f t="shared" si="3"/>
        <v>500</v>
      </c>
      <c r="I121" s="84"/>
      <c r="J121" s="191">
        <f>D121</f>
        <v>500</v>
      </c>
      <c r="K121" s="84"/>
      <c r="L121" s="84"/>
      <c r="M121" s="84"/>
      <c r="N121" s="84"/>
    </row>
    <row r="122" spans="1:14" ht="18">
      <c r="A122" s="83"/>
      <c r="B122" s="84" t="s">
        <v>256</v>
      </c>
      <c r="C122" s="85"/>
      <c r="D122" s="85"/>
      <c r="E122" s="93"/>
      <c r="F122" s="238"/>
      <c r="G122" s="200"/>
      <c r="H122" s="239">
        <f t="shared" si="3"/>
        <v>0</v>
      </c>
      <c r="I122" s="84"/>
      <c r="J122" s="84"/>
      <c r="K122" s="84"/>
      <c r="L122" s="84"/>
      <c r="M122" s="84"/>
      <c r="N122" s="84"/>
    </row>
    <row r="123" spans="1:14" ht="18">
      <c r="A123" s="83" t="s">
        <v>226</v>
      </c>
      <c r="B123" s="84" t="s">
        <v>227</v>
      </c>
      <c r="C123" s="85">
        <v>100</v>
      </c>
      <c r="D123" s="85">
        <v>100</v>
      </c>
      <c r="E123" s="93">
        <f t="shared" si="4"/>
        <v>0</v>
      </c>
      <c r="F123" s="238">
        <f t="shared" si="5"/>
        <v>100</v>
      </c>
      <c r="G123" s="200"/>
      <c r="H123" s="239">
        <f t="shared" si="3"/>
        <v>100</v>
      </c>
      <c r="I123" s="84"/>
      <c r="J123" s="191">
        <f>D123</f>
        <v>100</v>
      </c>
      <c r="K123" s="84"/>
      <c r="L123" s="84"/>
      <c r="M123" s="84"/>
      <c r="N123" s="84"/>
    </row>
    <row r="124" spans="1:14" ht="18">
      <c r="A124" s="83" t="s">
        <v>223</v>
      </c>
      <c r="B124" s="84" t="s">
        <v>224</v>
      </c>
      <c r="C124" s="85">
        <v>15000</v>
      </c>
      <c r="D124" s="85">
        <v>15000</v>
      </c>
      <c r="E124" s="93">
        <f t="shared" si="4"/>
        <v>0</v>
      </c>
      <c r="F124" s="238">
        <f t="shared" si="5"/>
        <v>100</v>
      </c>
      <c r="G124" s="200"/>
      <c r="H124" s="239">
        <f t="shared" si="3"/>
        <v>15000</v>
      </c>
      <c r="I124" s="84"/>
      <c r="J124" s="191">
        <f>D124</f>
        <v>15000</v>
      </c>
      <c r="K124" s="84"/>
      <c r="L124" s="84"/>
      <c r="M124" s="84"/>
      <c r="N124" s="84"/>
    </row>
    <row r="125" spans="1:14" ht="18">
      <c r="A125" s="83"/>
      <c r="B125" s="84" t="s">
        <v>225</v>
      </c>
      <c r="C125" s="85"/>
      <c r="D125" s="85"/>
      <c r="E125" s="93"/>
      <c r="F125" s="238"/>
      <c r="G125" s="200"/>
      <c r="H125" s="239">
        <f t="shared" si="3"/>
        <v>0</v>
      </c>
      <c r="I125" s="84"/>
      <c r="J125" s="84"/>
      <c r="K125" s="84"/>
      <c r="L125" s="84"/>
      <c r="M125" s="84"/>
      <c r="N125" s="84"/>
    </row>
    <row r="126" spans="1:14" ht="18">
      <c r="A126" s="83" t="s">
        <v>216</v>
      </c>
      <c r="B126" s="84" t="s">
        <v>218</v>
      </c>
      <c r="C126" s="85">
        <v>4500</v>
      </c>
      <c r="D126" s="85">
        <v>4500</v>
      </c>
      <c r="E126" s="93">
        <f t="shared" si="4"/>
        <v>0</v>
      </c>
      <c r="F126" s="238">
        <f t="shared" si="5"/>
        <v>100</v>
      </c>
      <c r="G126" s="200"/>
      <c r="H126" s="239">
        <f t="shared" si="3"/>
        <v>4500</v>
      </c>
      <c r="I126" s="84"/>
      <c r="J126" s="191">
        <f>D126</f>
        <v>4500</v>
      </c>
      <c r="K126" s="84"/>
      <c r="L126" s="84"/>
      <c r="M126" s="84"/>
      <c r="N126" s="84"/>
    </row>
    <row r="127" spans="1:14" ht="18">
      <c r="A127" s="83"/>
      <c r="B127" s="84" t="s">
        <v>217</v>
      </c>
      <c r="C127" s="85"/>
      <c r="D127" s="85"/>
      <c r="E127" s="93"/>
      <c r="F127" s="238"/>
      <c r="G127" s="200"/>
      <c r="H127" s="239">
        <f t="shared" si="3"/>
        <v>0</v>
      </c>
      <c r="I127" s="84"/>
      <c r="J127" s="84"/>
      <c r="K127" s="84"/>
      <c r="L127" s="84"/>
      <c r="M127" s="84"/>
      <c r="N127" s="84"/>
    </row>
    <row r="128" spans="1:14" ht="18">
      <c r="A128" s="83" t="s">
        <v>219</v>
      </c>
      <c r="B128" s="84" t="s">
        <v>220</v>
      </c>
      <c r="C128" s="85">
        <v>15000</v>
      </c>
      <c r="D128" s="85">
        <v>15000</v>
      </c>
      <c r="E128" s="93">
        <f t="shared" si="4"/>
        <v>0</v>
      </c>
      <c r="F128" s="238">
        <f t="shared" si="5"/>
        <v>100</v>
      </c>
      <c r="G128" s="200"/>
      <c r="H128" s="239">
        <f t="shared" si="3"/>
        <v>15000</v>
      </c>
      <c r="I128" s="84"/>
      <c r="J128" s="191">
        <f>D128</f>
        <v>15000</v>
      </c>
      <c r="K128" s="84"/>
      <c r="L128" s="84"/>
      <c r="M128" s="84"/>
      <c r="N128" s="84"/>
    </row>
    <row r="129" spans="1:14" ht="18">
      <c r="A129" s="83"/>
      <c r="B129" s="84" t="s">
        <v>221</v>
      </c>
      <c r="C129" s="85"/>
      <c r="D129" s="85"/>
      <c r="E129" s="93"/>
      <c r="F129" s="238"/>
      <c r="G129" s="200"/>
      <c r="H129" s="239">
        <f t="shared" si="3"/>
        <v>0</v>
      </c>
      <c r="I129" s="84"/>
      <c r="J129" s="84"/>
      <c r="K129" s="84"/>
      <c r="L129" s="84"/>
      <c r="M129" s="84"/>
      <c r="N129" s="84"/>
    </row>
    <row r="130" spans="1:14" ht="18">
      <c r="A130" s="83" t="s">
        <v>73</v>
      </c>
      <c r="B130" s="84" t="s">
        <v>74</v>
      </c>
      <c r="C130" s="85">
        <v>46000</v>
      </c>
      <c r="D130" s="85">
        <v>7880</v>
      </c>
      <c r="E130" s="93">
        <f t="shared" si="4"/>
        <v>-38120</v>
      </c>
      <c r="F130" s="238">
        <f t="shared" si="5"/>
        <v>17.130434782608695</v>
      </c>
      <c r="G130" s="200" t="s">
        <v>366</v>
      </c>
      <c r="H130" s="239">
        <f t="shared" si="3"/>
        <v>0</v>
      </c>
      <c r="I130" s="191"/>
      <c r="J130" s="191"/>
      <c r="K130" s="191"/>
      <c r="L130" s="191"/>
      <c r="M130" s="191"/>
      <c r="N130" s="191">
        <f>D130</f>
        <v>7880</v>
      </c>
    </row>
    <row r="131" spans="1:14" ht="18">
      <c r="A131" s="83"/>
      <c r="B131" s="84" t="s">
        <v>75</v>
      </c>
      <c r="C131" s="85"/>
      <c r="D131" s="85"/>
      <c r="E131" s="93"/>
      <c r="F131" s="238"/>
      <c r="G131" s="200"/>
      <c r="H131" s="239">
        <f t="shared" si="3"/>
        <v>0</v>
      </c>
      <c r="I131" s="84"/>
      <c r="J131" s="84"/>
      <c r="K131" s="84"/>
      <c r="L131" s="84"/>
      <c r="M131" s="84"/>
      <c r="N131" s="84"/>
    </row>
    <row r="132" spans="1:14" ht="18">
      <c r="A132" s="83"/>
      <c r="B132" s="84"/>
      <c r="C132" s="85"/>
      <c r="D132" s="94"/>
      <c r="E132" s="93"/>
      <c r="F132" s="238"/>
      <c r="G132" s="200"/>
      <c r="H132" s="239">
        <f t="shared" si="3"/>
        <v>0</v>
      </c>
      <c r="I132" s="84"/>
      <c r="J132" s="84"/>
      <c r="K132" s="84"/>
      <c r="L132" s="84"/>
      <c r="M132" s="84"/>
      <c r="N132" s="84"/>
    </row>
    <row r="133" spans="1:14" ht="18">
      <c r="A133" s="95" t="s">
        <v>179</v>
      </c>
      <c r="B133" s="96" t="s">
        <v>180</v>
      </c>
      <c r="C133" s="97">
        <f>SUM(C134:C138)</f>
        <v>66800</v>
      </c>
      <c r="D133" s="98">
        <f>SUM(D134:D138)</f>
        <v>27800</v>
      </c>
      <c r="E133" s="93">
        <f t="shared" si="4"/>
        <v>-39000</v>
      </c>
      <c r="F133" s="238">
        <f t="shared" si="5"/>
        <v>41.616766467065865</v>
      </c>
      <c r="G133" s="200"/>
      <c r="H133" s="239">
        <f t="shared" si="3"/>
        <v>0</v>
      </c>
      <c r="I133" s="84"/>
      <c r="J133" s="84"/>
      <c r="K133" s="84"/>
      <c r="L133" s="84"/>
      <c r="M133" s="84"/>
      <c r="N133" s="84"/>
    </row>
    <row r="134" spans="1:14" ht="18">
      <c r="A134" s="83" t="s">
        <v>32</v>
      </c>
      <c r="B134" s="62" t="s">
        <v>33</v>
      </c>
      <c r="C134" s="85">
        <v>2500</v>
      </c>
      <c r="D134" s="85">
        <v>2500</v>
      </c>
      <c r="E134" s="93">
        <f t="shared" si="4"/>
        <v>0</v>
      </c>
      <c r="F134" s="238">
        <f t="shared" si="5"/>
        <v>100</v>
      </c>
      <c r="G134" s="200"/>
      <c r="H134" s="239">
        <f t="shared" si="3"/>
        <v>2500</v>
      </c>
      <c r="I134" s="191">
        <f>D134</f>
        <v>2500</v>
      </c>
      <c r="J134" s="84"/>
      <c r="K134" s="84"/>
      <c r="L134" s="84"/>
      <c r="M134" s="84"/>
      <c r="N134" s="84"/>
    </row>
    <row r="135" spans="1:14" ht="18">
      <c r="A135" s="83" t="s">
        <v>34</v>
      </c>
      <c r="B135" s="62" t="s">
        <v>35</v>
      </c>
      <c r="C135" s="85">
        <v>20000</v>
      </c>
      <c r="D135" s="85">
        <v>21000</v>
      </c>
      <c r="E135" s="93">
        <f t="shared" si="4"/>
        <v>1000</v>
      </c>
      <c r="F135" s="238">
        <f t="shared" si="5"/>
        <v>105</v>
      </c>
      <c r="G135" s="200"/>
      <c r="H135" s="239">
        <f t="shared" si="3"/>
        <v>21000</v>
      </c>
      <c r="I135" s="84"/>
      <c r="J135" s="191">
        <f>D135</f>
        <v>21000</v>
      </c>
      <c r="K135" s="84"/>
      <c r="L135" s="84"/>
      <c r="M135" s="84"/>
      <c r="N135" s="84"/>
    </row>
    <row r="136" spans="1:14" ht="18">
      <c r="A136" s="83" t="s">
        <v>16</v>
      </c>
      <c r="B136" s="62" t="s">
        <v>17</v>
      </c>
      <c r="C136" s="85">
        <v>3000</v>
      </c>
      <c r="D136" s="85">
        <v>3000</v>
      </c>
      <c r="E136" s="93">
        <f t="shared" si="4"/>
        <v>0</v>
      </c>
      <c r="F136" s="238">
        <f t="shared" si="5"/>
        <v>100</v>
      </c>
      <c r="G136" s="200"/>
      <c r="H136" s="239">
        <f aca="true" t="shared" si="7" ref="H136:H199">SUM(I136:M136)</f>
        <v>3000</v>
      </c>
      <c r="I136" s="84"/>
      <c r="J136" s="191">
        <f>D136</f>
        <v>3000</v>
      </c>
      <c r="K136" s="84"/>
      <c r="L136" s="84"/>
      <c r="M136" s="84"/>
      <c r="N136" s="84"/>
    </row>
    <row r="137" spans="1:14" ht="18">
      <c r="A137" s="83" t="s">
        <v>53</v>
      </c>
      <c r="B137" s="62" t="s">
        <v>54</v>
      </c>
      <c r="C137" s="85">
        <v>1300</v>
      </c>
      <c r="D137" s="85">
        <v>1300</v>
      </c>
      <c r="E137" s="93">
        <f t="shared" si="4"/>
        <v>0</v>
      </c>
      <c r="F137" s="238">
        <f t="shared" si="5"/>
        <v>100</v>
      </c>
      <c r="G137" s="200"/>
      <c r="H137" s="239">
        <f t="shared" si="7"/>
        <v>1300</v>
      </c>
      <c r="I137" s="84"/>
      <c r="J137" s="191">
        <f>D137</f>
        <v>1300</v>
      </c>
      <c r="K137" s="84"/>
      <c r="L137" s="84"/>
      <c r="M137" s="84"/>
      <c r="N137" s="84"/>
    </row>
    <row r="138" spans="1:14" ht="36">
      <c r="A138" s="83" t="s">
        <v>73</v>
      </c>
      <c r="B138" s="84" t="s">
        <v>74</v>
      </c>
      <c r="C138" s="85">
        <v>40000</v>
      </c>
      <c r="D138" s="94">
        <v>0</v>
      </c>
      <c r="E138" s="93">
        <f t="shared" si="4"/>
        <v>-40000</v>
      </c>
      <c r="F138" s="238">
        <f t="shared" si="5"/>
        <v>0</v>
      </c>
      <c r="G138" s="200" t="s">
        <v>291</v>
      </c>
      <c r="H138" s="239">
        <f t="shared" si="7"/>
        <v>0</v>
      </c>
      <c r="I138" s="84"/>
      <c r="J138" s="84"/>
      <c r="K138" s="84"/>
      <c r="L138" s="84"/>
      <c r="M138" s="84"/>
      <c r="N138" s="191">
        <f>D138</f>
        <v>0</v>
      </c>
    </row>
    <row r="139" spans="1:14" ht="18">
      <c r="A139" s="83"/>
      <c r="B139" s="84" t="s">
        <v>75</v>
      </c>
      <c r="C139" s="85"/>
      <c r="D139" s="94"/>
      <c r="E139" s="93">
        <f t="shared" si="4"/>
        <v>0</v>
      </c>
      <c r="F139" s="238"/>
      <c r="G139" s="200"/>
      <c r="H139" s="239">
        <f t="shared" si="7"/>
        <v>0</v>
      </c>
      <c r="I139" s="84"/>
      <c r="J139" s="84"/>
      <c r="K139" s="84"/>
      <c r="L139" s="84"/>
      <c r="M139" s="84"/>
      <c r="N139" s="84"/>
    </row>
    <row r="140" spans="1:14" ht="18">
      <c r="A140" s="72" t="s">
        <v>76</v>
      </c>
      <c r="B140" s="63" t="s">
        <v>15</v>
      </c>
      <c r="C140" s="73">
        <f>SUM(C141:C144)</f>
        <v>15000</v>
      </c>
      <c r="D140" s="248">
        <f>SUM(D141:D144)</f>
        <v>15000</v>
      </c>
      <c r="E140" s="93">
        <f t="shared" si="4"/>
        <v>0</v>
      </c>
      <c r="F140" s="238">
        <f t="shared" si="5"/>
        <v>100</v>
      </c>
      <c r="G140" s="200"/>
      <c r="H140" s="239">
        <f t="shared" si="7"/>
        <v>0</v>
      </c>
      <c r="I140" s="84"/>
      <c r="J140" s="84"/>
      <c r="K140" s="84"/>
      <c r="L140" s="84"/>
      <c r="M140" s="84"/>
      <c r="N140" s="84"/>
    </row>
    <row r="141" spans="1:14" ht="18">
      <c r="A141" s="70" t="s">
        <v>32</v>
      </c>
      <c r="B141" s="62" t="s">
        <v>33</v>
      </c>
      <c r="C141" s="65">
        <v>3000</v>
      </c>
      <c r="D141" s="65">
        <v>3000</v>
      </c>
      <c r="E141" s="93">
        <f t="shared" si="4"/>
        <v>0</v>
      </c>
      <c r="F141" s="238">
        <f t="shared" si="5"/>
        <v>100</v>
      </c>
      <c r="G141" s="200"/>
      <c r="H141" s="239">
        <f t="shared" si="7"/>
        <v>3000</v>
      </c>
      <c r="I141" s="191">
        <f>D141</f>
        <v>3000</v>
      </c>
      <c r="J141" s="84"/>
      <c r="K141" s="84"/>
      <c r="L141" s="84"/>
      <c r="M141" s="84"/>
      <c r="N141" s="84"/>
    </row>
    <row r="142" spans="1:14" ht="18">
      <c r="A142" s="70" t="s">
        <v>34</v>
      </c>
      <c r="B142" s="62" t="s">
        <v>35</v>
      </c>
      <c r="C142" s="65">
        <v>5000</v>
      </c>
      <c r="D142" s="65">
        <v>5000</v>
      </c>
      <c r="E142" s="93">
        <f t="shared" si="4"/>
        <v>0</v>
      </c>
      <c r="F142" s="238">
        <f t="shared" si="5"/>
        <v>100</v>
      </c>
      <c r="G142" s="200"/>
      <c r="H142" s="239">
        <f t="shared" si="7"/>
        <v>5000</v>
      </c>
      <c r="I142" s="84"/>
      <c r="J142" s="191">
        <f>D142</f>
        <v>5000</v>
      </c>
      <c r="K142" s="84"/>
      <c r="L142" s="84"/>
      <c r="M142" s="84"/>
      <c r="N142" s="84"/>
    </row>
    <row r="143" spans="1:14" ht="18">
      <c r="A143" s="70" t="s">
        <v>16</v>
      </c>
      <c r="B143" s="62" t="s">
        <v>17</v>
      </c>
      <c r="C143" s="65">
        <f>2000+5000</f>
        <v>7000</v>
      </c>
      <c r="D143" s="65">
        <f>2000+5000</f>
        <v>7000</v>
      </c>
      <c r="E143" s="93">
        <f t="shared" si="4"/>
        <v>0</v>
      </c>
      <c r="F143" s="238">
        <f t="shared" si="5"/>
        <v>100</v>
      </c>
      <c r="G143" s="200"/>
      <c r="H143" s="239">
        <f t="shared" si="7"/>
        <v>7000</v>
      </c>
      <c r="I143" s="84"/>
      <c r="J143" s="191">
        <f>D143</f>
        <v>7000</v>
      </c>
      <c r="K143" s="84"/>
      <c r="L143" s="84"/>
      <c r="M143" s="84"/>
      <c r="N143" s="84"/>
    </row>
    <row r="144" spans="1:14" ht="18">
      <c r="A144" s="71"/>
      <c r="B144" s="64"/>
      <c r="C144" s="66"/>
      <c r="D144" s="249"/>
      <c r="E144" s="93"/>
      <c r="F144" s="238"/>
      <c r="G144" s="200"/>
      <c r="H144" s="239">
        <f t="shared" si="7"/>
        <v>0</v>
      </c>
      <c r="I144" s="84"/>
      <c r="J144" s="84"/>
      <c r="K144" s="84"/>
      <c r="L144" s="84"/>
      <c r="M144" s="84"/>
      <c r="N144" s="84"/>
    </row>
    <row r="145" spans="1:14" ht="18">
      <c r="A145" s="72" t="s">
        <v>77</v>
      </c>
      <c r="B145" s="63" t="s">
        <v>78</v>
      </c>
      <c r="C145" s="73">
        <f>SUM(C148)</f>
        <v>925</v>
      </c>
      <c r="D145" s="248">
        <f>SUM(D148)</f>
        <v>944</v>
      </c>
      <c r="E145" s="93">
        <f t="shared" si="4"/>
        <v>19</v>
      </c>
      <c r="F145" s="238">
        <f t="shared" si="5"/>
        <v>102.05405405405405</v>
      </c>
      <c r="G145" s="200" t="s">
        <v>331</v>
      </c>
      <c r="H145" s="239">
        <f t="shared" si="7"/>
        <v>0</v>
      </c>
      <c r="I145" s="84"/>
      <c r="J145" s="84"/>
      <c r="K145" s="84"/>
      <c r="L145" s="84"/>
      <c r="M145" s="84"/>
      <c r="N145" s="84"/>
    </row>
    <row r="146" spans="1:14" ht="18">
      <c r="A146" s="61"/>
      <c r="B146" s="63" t="s">
        <v>79</v>
      </c>
      <c r="C146" s="65"/>
      <c r="D146" s="250"/>
      <c r="E146" s="93"/>
      <c r="F146" s="238"/>
      <c r="G146" s="200" t="s">
        <v>332</v>
      </c>
      <c r="H146" s="239">
        <f t="shared" si="7"/>
        <v>0</v>
      </c>
      <c r="I146" s="84"/>
      <c r="J146" s="84"/>
      <c r="K146" s="84"/>
      <c r="L146" s="84"/>
      <c r="M146" s="84"/>
      <c r="N146" s="84"/>
    </row>
    <row r="147" spans="1:14" ht="18">
      <c r="A147" s="83"/>
      <c r="B147" s="84"/>
      <c r="C147" s="85"/>
      <c r="D147" s="94"/>
      <c r="E147" s="93"/>
      <c r="F147" s="238"/>
      <c r="G147" s="200" t="s">
        <v>333</v>
      </c>
      <c r="H147" s="239">
        <f t="shared" si="7"/>
        <v>0</v>
      </c>
      <c r="I147" s="84"/>
      <c r="J147" s="84"/>
      <c r="K147" s="84"/>
      <c r="L147" s="84"/>
      <c r="M147" s="84"/>
      <c r="N147" s="84"/>
    </row>
    <row r="148" spans="1:14" ht="18">
      <c r="A148" s="95" t="s">
        <v>80</v>
      </c>
      <c r="B148" s="96" t="s">
        <v>81</v>
      </c>
      <c r="C148" s="97">
        <f>SUM(C150:C152)</f>
        <v>925</v>
      </c>
      <c r="D148" s="98">
        <f>SUM(D150:D152)</f>
        <v>944</v>
      </c>
      <c r="E148" s="93">
        <f aca="true" t="shared" si="8" ref="E148:E212">D148-C148</f>
        <v>19</v>
      </c>
      <c r="F148" s="238">
        <f aca="true" t="shared" si="9" ref="F148:F212">D148*100/C148</f>
        <v>102.05405405405405</v>
      </c>
      <c r="G148" s="200" t="s">
        <v>334</v>
      </c>
      <c r="H148" s="239">
        <f t="shared" si="7"/>
        <v>0</v>
      </c>
      <c r="I148" s="84"/>
      <c r="J148" s="84"/>
      <c r="K148" s="84"/>
      <c r="L148" s="84"/>
      <c r="M148" s="84"/>
      <c r="N148" s="84"/>
    </row>
    <row r="149" spans="1:14" ht="18">
      <c r="A149" s="83"/>
      <c r="B149" s="96" t="s">
        <v>82</v>
      </c>
      <c r="C149" s="85"/>
      <c r="D149" s="94"/>
      <c r="E149" s="93"/>
      <c r="F149" s="238"/>
      <c r="G149" s="200"/>
      <c r="H149" s="239">
        <f t="shared" si="7"/>
        <v>0</v>
      </c>
      <c r="I149" s="84"/>
      <c r="J149" s="84"/>
      <c r="K149" s="84"/>
      <c r="L149" s="84"/>
      <c r="M149" s="84"/>
      <c r="N149" s="84"/>
    </row>
    <row r="150" spans="1:14" ht="18">
      <c r="A150" s="83" t="s">
        <v>26</v>
      </c>
      <c r="B150" s="84" t="s">
        <v>27</v>
      </c>
      <c r="C150" s="85">
        <v>120</v>
      </c>
      <c r="D150" s="94">
        <v>122</v>
      </c>
      <c r="E150" s="93">
        <f t="shared" si="8"/>
        <v>2</v>
      </c>
      <c r="F150" s="238">
        <f t="shared" si="9"/>
        <v>101.66666666666667</v>
      </c>
      <c r="G150" s="200"/>
      <c r="H150" s="239">
        <f t="shared" si="7"/>
        <v>122</v>
      </c>
      <c r="I150" s="191">
        <f>D150</f>
        <v>122</v>
      </c>
      <c r="J150" s="84"/>
      <c r="K150" s="84"/>
      <c r="L150" s="84"/>
      <c r="M150" s="84"/>
      <c r="N150" s="84"/>
    </row>
    <row r="151" spans="1:14" ht="18">
      <c r="A151" s="83" t="s">
        <v>28</v>
      </c>
      <c r="B151" s="84" t="s">
        <v>29</v>
      </c>
      <c r="C151" s="85">
        <v>20</v>
      </c>
      <c r="D151" s="94">
        <v>20</v>
      </c>
      <c r="E151" s="93">
        <f t="shared" si="8"/>
        <v>0</v>
      </c>
      <c r="F151" s="238">
        <f t="shared" si="9"/>
        <v>100</v>
      </c>
      <c r="G151" s="200"/>
      <c r="H151" s="239">
        <f t="shared" si="7"/>
        <v>20</v>
      </c>
      <c r="I151" s="191">
        <f>D151</f>
        <v>20</v>
      </c>
      <c r="J151" s="84"/>
      <c r="K151" s="84"/>
      <c r="L151" s="84"/>
      <c r="M151" s="84"/>
      <c r="N151" s="84"/>
    </row>
    <row r="152" spans="1:14" ht="18">
      <c r="A152" s="83" t="s">
        <v>32</v>
      </c>
      <c r="B152" s="84" t="s">
        <v>33</v>
      </c>
      <c r="C152" s="85">
        <v>785</v>
      </c>
      <c r="D152" s="94">
        <v>802</v>
      </c>
      <c r="E152" s="93">
        <f t="shared" si="8"/>
        <v>17</v>
      </c>
      <c r="F152" s="238">
        <f t="shared" si="9"/>
        <v>102.1656050955414</v>
      </c>
      <c r="G152" s="200"/>
      <c r="H152" s="239">
        <f t="shared" si="7"/>
        <v>802</v>
      </c>
      <c r="I152" s="191">
        <f>D152</f>
        <v>802</v>
      </c>
      <c r="J152" s="84"/>
      <c r="K152" s="84"/>
      <c r="L152" s="84"/>
      <c r="M152" s="84"/>
      <c r="N152" s="84"/>
    </row>
    <row r="153" spans="1:14" ht="17.25" customHeight="1">
      <c r="A153" s="99"/>
      <c r="B153" s="100"/>
      <c r="C153" s="101"/>
      <c r="D153" s="102"/>
      <c r="E153" s="93"/>
      <c r="F153" s="238"/>
      <c r="G153" s="200"/>
      <c r="H153" s="239">
        <f t="shared" si="7"/>
        <v>0</v>
      </c>
      <c r="I153" s="84"/>
      <c r="J153" s="84"/>
      <c r="K153" s="84"/>
      <c r="L153" s="84"/>
      <c r="M153" s="84"/>
      <c r="N153" s="84"/>
    </row>
    <row r="154" spans="1:14" ht="18">
      <c r="A154" s="251" t="s">
        <v>83</v>
      </c>
      <c r="B154" s="252" t="s">
        <v>84</v>
      </c>
      <c r="C154" s="92">
        <f>SUM(C156+C178+C182)</f>
        <v>132800</v>
      </c>
      <c r="D154" s="92">
        <f>SUM(D156+D178+D182)</f>
        <v>315835</v>
      </c>
      <c r="E154" s="93">
        <f t="shared" si="8"/>
        <v>183035</v>
      </c>
      <c r="F154" s="238">
        <f t="shared" si="9"/>
        <v>237.82756024096386</v>
      </c>
      <c r="G154" s="200"/>
      <c r="H154" s="239">
        <f t="shared" si="7"/>
        <v>0</v>
      </c>
      <c r="I154" s="84"/>
      <c r="J154" s="84"/>
      <c r="K154" s="84"/>
      <c r="L154" s="84"/>
      <c r="M154" s="84"/>
      <c r="N154" s="84"/>
    </row>
    <row r="155" spans="1:14" ht="18">
      <c r="A155" s="106"/>
      <c r="B155" s="253" t="s">
        <v>85</v>
      </c>
      <c r="C155" s="94"/>
      <c r="D155" s="94"/>
      <c r="E155" s="93"/>
      <c r="F155" s="238"/>
      <c r="G155" s="200"/>
      <c r="H155" s="239">
        <f t="shared" si="7"/>
        <v>0</v>
      </c>
      <c r="I155" s="84"/>
      <c r="J155" s="84"/>
      <c r="K155" s="84"/>
      <c r="L155" s="84"/>
      <c r="M155" s="84"/>
      <c r="N155" s="84"/>
    </row>
    <row r="156" spans="1:14" ht="18">
      <c r="A156" s="107" t="s">
        <v>86</v>
      </c>
      <c r="B156" s="253" t="s">
        <v>87</v>
      </c>
      <c r="C156" s="98">
        <f>SUM(C157:C176)</f>
        <v>122800</v>
      </c>
      <c r="D156" s="98">
        <f>SUM(D157:D176)</f>
        <v>300635</v>
      </c>
      <c r="E156" s="93">
        <f t="shared" si="8"/>
        <v>177835</v>
      </c>
      <c r="F156" s="238">
        <f t="shared" si="9"/>
        <v>244.81677524429966</v>
      </c>
      <c r="G156" s="200"/>
      <c r="H156" s="239">
        <f t="shared" si="7"/>
        <v>0</v>
      </c>
      <c r="I156" s="84"/>
      <c r="J156" s="84"/>
      <c r="K156" s="84"/>
      <c r="L156" s="84"/>
      <c r="M156" s="84"/>
      <c r="N156" s="84"/>
    </row>
    <row r="157" spans="1:14" ht="18">
      <c r="A157" s="106" t="s">
        <v>62</v>
      </c>
      <c r="B157" s="108" t="s">
        <v>63</v>
      </c>
      <c r="C157" s="94">
        <v>5000</v>
      </c>
      <c r="D157" s="94">
        <v>5000</v>
      </c>
      <c r="E157" s="93">
        <f t="shared" si="8"/>
        <v>0</v>
      </c>
      <c r="F157" s="238">
        <f t="shared" si="9"/>
        <v>100</v>
      </c>
      <c r="G157" s="200"/>
      <c r="H157" s="239">
        <f t="shared" si="7"/>
        <v>5000</v>
      </c>
      <c r="I157" s="84"/>
      <c r="J157" s="84"/>
      <c r="K157" s="84"/>
      <c r="L157" s="191">
        <f>D157</f>
        <v>5000</v>
      </c>
      <c r="M157" s="84"/>
      <c r="N157" s="84"/>
    </row>
    <row r="158" spans="1:14" ht="18">
      <c r="A158" s="106" t="s">
        <v>26</v>
      </c>
      <c r="B158" s="108" t="s">
        <v>27</v>
      </c>
      <c r="C158" s="94">
        <v>1500</v>
      </c>
      <c r="D158" s="94">
        <v>1500</v>
      </c>
      <c r="E158" s="93">
        <f t="shared" si="8"/>
        <v>0</v>
      </c>
      <c r="F158" s="238">
        <f t="shared" si="9"/>
        <v>100</v>
      </c>
      <c r="G158" s="200"/>
      <c r="H158" s="239">
        <f t="shared" si="7"/>
        <v>1500</v>
      </c>
      <c r="I158" s="191">
        <f>D158</f>
        <v>1500</v>
      </c>
      <c r="J158" s="84"/>
      <c r="K158" s="84"/>
      <c r="L158" s="84"/>
      <c r="M158" s="84"/>
      <c r="N158" s="84"/>
    </row>
    <row r="159" spans="1:14" ht="18">
      <c r="A159" s="106" t="s">
        <v>32</v>
      </c>
      <c r="B159" s="108" t="s">
        <v>33</v>
      </c>
      <c r="C159" s="94">
        <v>30000</v>
      </c>
      <c r="D159" s="94">
        <v>23500</v>
      </c>
      <c r="E159" s="93">
        <f t="shared" si="8"/>
        <v>-6500</v>
      </c>
      <c r="F159" s="238">
        <f t="shared" si="9"/>
        <v>78.33333333333333</v>
      </c>
      <c r="G159" s="200"/>
      <c r="H159" s="239">
        <f t="shared" si="7"/>
        <v>23500</v>
      </c>
      <c r="I159" s="191">
        <f>D159</f>
        <v>23500</v>
      </c>
      <c r="J159" s="84"/>
      <c r="K159" s="84"/>
      <c r="L159" s="84"/>
      <c r="M159" s="84"/>
      <c r="N159" s="84"/>
    </row>
    <row r="160" spans="1:14" ht="18">
      <c r="A160" s="106" t="s">
        <v>34</v>
      </c>
      <c r="B160" s="108" t="s">
        <v>35</v>
      </c>
      <c r="C160" s="94">
        <v>22500</v>
      </c>
      <c r="D160" s="94">
        <f>3100+30000+20000</f>
        <v>53100</v>
      </c>
      <c r="E160" s="93">
        <f t="shared" si="8"/>
        <v>30600</v>
      </c>
      <c r="F160" s="238">
        <f t="shared" si="9"/>
        <v>236</v>
      </c>
      <c r="G160" s="200" t="s">
        <v>533</v>
      </c>
      <c r="H160" s="239">
        <f t="shared" si="7"/>
        <v>53100</v>
      </c>
      <c r="I160" s="84"/>
      <c r="J160" s="191">
        <f aca="true" t="shared" si="10" ref="J160:J165">D160</f>
        <v>53100</v>
      </c>
      <c r="K160" s="84"/>
      <c r="L160" s="84"/>
      <c r="M160" s="84"/>
      <c r="N160" s="84"/>
    </row>
    <row r="161" spans="1:14" ht="18">
      <c r="A161" s="106" t="s">
        <v>68</v>
      </c>
      <c r="B161" s="108" t="s">
        <v>69</v>
      </c>
      <c r="C161" s="94">
        <v>26000</v>
      </c>
      <c r="D161" s="94">
        <v>25400</v>
      </c>
      <c r="E161" s="93">
        <f t="shared" si="8"/>
        <v>-600</v>
      </c>
      <c r="F161" s="238">
        <f t="shared" si="9"/>
        <v>97.6923076923077</v>
      </c>
      <c r="G161" s="200"/>
      <c r="H161" s="239">
        <f t="shared" si="7"/>
        <v>25400</v>
      </c>
      <c r="I161" s="84"/>
      <c r="J161" s="191">
        <f t="shared" si="10"/>
        <v>25400</v>
      </c>
      <c r="K161" s="84"/>
      <c r="L161" s="84"/>
      <c r="M161" s="84"/>
      <c r="N161" s="84"/>
    </row>
    <row r="162" spans="1:14" ht="18">
      <c r="A162" s="106" t="s">
        <v>44</v>
      </c>
      <c r="B162" s="108" t="s">
        <v>45</v>
      </c>
      <c r="C162" s="94">
        <v>20000</v>
      </c>
      <c r="D162" s="94">
        <v>10000</v>
      </c>
      <c r="E162" s="93">
        <f t="shared" si="8"/>
        <v>-10000</v>
      </c>
      <c r="F162" s="238">
        <f t="shared" si="9"/>
        <v>50</v>
      </c>
      <c r="G162" s="200" t="s">
        <v>365</v>
      </c>
      <c r="H162" s="239">
        <f t="shared" si="7"/>
        <v>10000</v>
      </c>
      <c r="I162" s="84"/>
      <c r="J162" s="191">
        <f t="shared" si="10"/>
        <v>10000</v>
      </c>
      <c r="K162" s="84"/>
      <c r="L162" s="84"/>
      <c r="M162" s="84"/>
      <c r="N162" s="84"/>
    </row>
    <row r="163" spans="1:14" ht="18">
      <c r="A163" s="106" t="s">
        <v>70</v>
      </c>
      <c r="B163" s="108" t="s">
        <v>71</v>
      </c>
      <c r="C163" s="94">
        <v>1500</v>
      </c>
      <c r="D163" s="94">
        <v>2500</v>
      </c>
      <c r="E163" s="93">
        <f t="shared" si="8"/>
        <v>1000</v>
      </c>
      <c r="F163" s="238">
        <f t="shared" si="9"/>
        <v>166.66666666666666</v>
      </c>
      <c r="G163" s="200"/>
      <c r="H163" s="239">
        <f t="shared" si="7"/>
        <v>2500</v>
      </c>
      <c r="I163" s="84"/>
      <c r="J163" s="191">
        <f t="shared" si="10"/>
        <v>2500</v>
      </c>
      <c r="K163" s="84"/>
      <c r="L163" s="84"/>
      <c r="M163" s="84"/>
      <c r="N163" s="84"/>
    </row>
    <row r="164" spans="1:14" ht="18">
      <c r="A164" s="106" t="s">
        <v>16</v>
      </c>
      <c r="B164" s="108" t="s">
        <v>17</v>
      </c>
      <c r="C164" s="94">
        <v>7450</v>
      </c>
      <c r="D164" s="94">
        <f>1000</f>
        <v>1000</v>
      </c>
      <c r="E164" s="93">
        <f t="shared" si="8"/>
        <v>-6450</v>
      </c>
      <c r="F164" s="238">
        <f t="shared" si="9"/>
        <v>13.422818791946309</v>
      </c>
      <c r="G164" s="200"/>
      <c r="H164" s="239">
        <f t="shared" si="7"/>
        <v>1000</v>
      </c>
      <c r="I164" s="84"/>
      <c r="J164" s="191">
        <f t="shared" si="10"/>
        <v>1000</v>
      </c>
      <c r="K164" s="84"/>
      <c r="L164" s="84"/>
      <c r="M164" s="84"/>
      <c r="N164" s="84"/>
    </row>
    <row r="165" spans="1:14" ht="18">
      <c r="A165" s="106" t="s">
        <v>211</v>
      </c>
      <c r="B165" s="84" t="s">
        <v>212</v>
      </c>
      <c r="C165" s="94">
        <v>650</v>
      </c>
      <c r="D165" s="94">
        <v>300</v>
      </c>
      <c r="E165" s="93">
        <f t="shared" si="8"/>
        <v>-350</v>
      </c>
      <c r="F165" s="238">
        <f t="shared" si="9"/>
        <v>46.15384615384615</v>
      </c>
      <c r="G165" s="200"/>
      <c r="H165" s="239">
        <f t="shared" si="7"/>
        <v>300</v>
      </c>
      <c r="I165" s="84"/>
      <c r="J165" s="191">
        <f t="shared" si="10"/>
        <v>300</v>
      </c>
      <c r="K165" s="84"/>
      <c r="L165" s="84"/>
      <c r="M165" s="84"/>
      <c r="N165" s="84"/>
    </row>
    <row r="166" spans="1:14" ht="18">
      <c r="A166" s="106"/>
      <c r="B166" s="84" t="s">
        <v>213</v>
      </c>
      <c r="C166" s="94"/>
      <c r="D166" s="94"/>
      <c r="E166" s="93"/>
      <c r="F166" s="238"/>
      <c r="G166" s="200"/>
      <c r="H166" s="239">
        <f t="shared" si="7"/>
        <v>0</v>
      </c>
      <c r="I166" s="84"/>
      <c r="J166" s="84"/>
      <c r="K166" s="84"/>
      <c r="L166" s="84"/>
      <c r="M166" s="84"/>
      <c r="N166" s="84"/>
    </row>
    <row r="167" spans="1:14" ht="18">
      <c r="A167" s="106" t="s">
        <v>240</v>
      </c>
      <c r="B167" s="108" t="s">
        <v>241</v>
      </c>
      <c r="C167" s="94">
        <v>100</v>
      </c>
      <c r="D167" s="94">
        <v>100</v>
      </c>
      <c r="E167" s="93">
        <f t="shared" si="8"/>
        <v>0</v>
      </c>
      <c r="F167" s="238">
        <f t="shared" si="9"/>
        <v>100</v>
      </c>
      <c r="G167" s="200"/>
      <c r="H167" s="239">
        <f t="shared" si="7"/>
        <v>100</v>
      </c>
      <c r="I167" s="84"/>
      <c r="J167" s="191">
        <f>D167</f>
        <v>100</v>
      </c>
      <c r="K167" s="84"/>
      <c r="L167" s="84"/>
      <c r="M167" s="84"/>
      <c r="N167" s="84"/>
    </row>
    <row r="168" spans="1:14" ht="18">
      <c r="A168" s="106"/>
      <c r="B168" s="108" t="s">
        <v>257</v>
      </c>
      <c r="C168" s="94"/>
      <c r="D168" s="94"/>
      <c r="E168" s="93"/>
      <c r="F168" s="238"/>
      <c r="G168" s="200"/>
      <c r="H168" s="239">
        <f t="shared" si="7"/>
        <v>0</v>
      </c>
      <c r="I168" s="84"/>
      <c r="J168" s="84"/>
      <c r="K168" s="84"/>
      <c r="L168" s="84"/>
      <c r="M168" s="84"/>
      <c r="N168" s="84"/>
    </row>
    <row r="169" spans="1:14" ht="18">
      <c r="A169" s="106" t="s">
        <v>36</v>
      </c>
      <c r="B169" s="108" t="s">
        <v>37</v>
      </c>
      <c r="C169" s="94">
        <v>1000</v>
      </c>
      <c r="D169" s="94">
        <v>500</v>
      </c>
      <c r="E169" s="93">
        <f t="shared" si="8"/>
        <v>-500</v>
      </c>
      <c r="F169" s="238">
        <f t="shared" si="9"/>
        <v>50</v>
      </c>
      <c r="G169" s="200"/>
      <c r="H169" s="239">
        <f t="shared" si="7"/>
        <v>500</v>
      </c>
      <c r="I169" s="84"/>
      <c r="J169" s="191">
        <f>D169</f>
        <v>500</v>
      </c>
      <c r="K169" s="84"/>
      <c r="L169" s="84"/>
      <c r="M169" s="84"/>
      <c r="N169" s="84"/>
    </row>
    <row r="170" spans="1:14" ht="18">
      <c r="A170" s="106" t="s">
        <v>53</v>
      </c>
      <c r="B170" s="108" t="s">
        <v>54</v>
      </c>
      <c r="C170" s="94">
        <v>6500</v>
      </c>
      <c r="D170" s="94">
        <f>6500+3500</f>
        <v>10000</v>
      </c>
      <c r="E170" s="93">
        <f t="shared" si="8"/>
        <v>3500</v>
      </c>
      <c r="F170" s="238">
        <f t="shared" si="9"/>
        <v>153.84615384615384</v>
      </c>
      <c r="G170" s="200"/>
      <c r="H170" s="239">
        <f t="shared" si="7"/>
        <v>10000</v>
      </c>
      <c r="I170" s="84"/>
      <c r="J170" s="191">
        <f>D170</f>
        <v>10000</v>
      </c>
      <c r="K170" s="84"/>
      <c r="L170" s="84"/>
      <c r="M170" s="84"/>
      <c r="N170" s="84"/>
    </row>
    <row r="171" spans="1:14" ht="18">
      <c r="A171" s="106" t="s">
        <v>223</v>
      </c>
      <c r="B171" s="108" t="s">
        <v>224</v>
      </c>
      <c r="C171" s="94">
        <v>500</v>
      </c>
      <c r="D171" s="94">
        <v>100</v>
      </c>
      <c r="E171" s="93">
        <f t="shared" si="8"/>
        <v>-400</v>
      </c>
      <c r="F171" s="238">
        <f t="shared" si="9"/>
        <v>20</v>
      </c>
      <c r="G171" s="200"/>
      <c r="H171" s="239">
        <f t="shared" si="7"/>
        <v>100</v>
      </c>
      <c r="I171" s="84"/>
      <c r="J171" s="191">
        <f>D171</f>
        <v>100</v>
      </c>
      <c r="K171" s="84"/>
      <c r="L171" s="84"/>
      <c r="M171" s="84"/>
      <c r="N171" s="84"/>
    </row>
    <row r="172" spans="1:14" ht="18">
      <c r="A172" s="106"/>
      <c r="B172" s="108" t="s">
        <v>225</v>
      </c>
      <c r="C172" s="94"/>
      <c r="D172" s="94"/>
      <c r="E172" s="93"/>
      <c r="F172" s="238"/>
      <c r="G172" s="200"/>
      <c r="H172" s="239">
        <f t="shared" si="7"/>
        <v>0</v>
      </c>
      <c r="I172" s="84"/>
      <c r="J172" s="84"/>
      <c r="K172" s="84"/>
      <c r="L172" s="84"/>
      <c r="M172" s="84"/>
      <c r="N172" s="84"/>
    </row>
    <row r="173" spans="1:14" ht="18">
      <c r="A173" s="83" t="s">
        <v>219</v>
      </c>
      <c r="B173" s="84" t="s">
        <v>220</v>
      </c>
      <c r="C173" s="94">
        <v>100</v>
      </c>
      <c r="D173" s="94">
        <v>100</v>
      </c>
      <c r="E173" s="93">
        <f t="shared" si="8"/>
        <v>0</v>
      </c>
      <c r="F173" s="238">
        <f t="shared" si="9"/>
        <v>100</v>
      </c>
      <c r="G173" s="200"/>
      <c r="H173" s="239">
        <f t="shared" si="7"/>
        <v>100</v>
      </c>
      <c r="I173" s="84"/>
      <c r="J173" s="191">
        <f>D173</f>
        <v>100</v>
      </c>
      <c r="K173" s="84"/>
      <c r="L173" s="84"/>
      <c r="M173" s="84"/>
      <c r="N173" s="84"/>
    </row>
    <row r="174" spans="1:14" ht="18">
      <c r="A174" s="83"/>
      <c r="B174" s="84" t="s">
        <v>221</v>
      </c>
      <c r="C174" s="94"/>
      <c r="D174" s="94"/>
      <c r="E174" s="93"/>
      <c r="F174" s="238"/>
      <c r="G174" s="200"/>
      <c r="H174" s="239">
        <f t="shared" si="7"/>
        <v>0</v>
      </c>
      <c r="I174" s="84"/>
      <c r="J174" s="84"/>
      <c r="K174" s="84"/>
      <c r="L174" s="84"/>
      <c r="M174" s="84"/>
      <c r="N174" s="84"/>
    </row>
    <row r="175" spans="1:14" ht="36">
      <c r="A175" s="106" t="s">
        <v>89</v>
      </c>
      <c r="B175" s="108" t="s">
        <v>98</v>
      </c>
      <c r="C175" s="94">
        <v>0</v>
      </c>
      <c r="D175" s="94">
        <v>159535</v>
      </c>
      <c r="E175" s="93">
        <f t="shared" si="8"/>
        <v>159535</v>
      </c>
      <c r="F175" s="238" t="e">
        <f t="shared" si="9"/>
        <v>#DIV/0!</v>
      </c>
      <c r="G175" s="200" t="s">
        <v>357</v>
      </c>
      <c r="H175" s="239">
        <f t="shared" si="7"/>
        <v>0</v>
      </c>
      <c r="I175" s="191"/>
      <c r="J175" s="191"/>
      <c r="K175" s="191"/>
      <c r="L175" s="191"/>
      <c r="M175" s="191"/>
      <c r="N175" s="191">
        <f>D175</f>
        <v>159535</v>
      </c>
    </row>
    <row r="176" spans="1:14" ht="18">
      <c r="A176" s="106" t="s">
        <v>73</v>
      </c>
      <c r="B176" s="108" t="s">
        <v>356</v>
      </c>
      <c r="C176" s="94">
        <v>0</v>
      </c>
      <c r="D176" s="94">
        <v>8000</v>
      </c>
      <c r="E176" s="93">
        <f t="shared" si="8"/>
        <v>8000</v>
      </c>
      <c r="F176" s="238" t="e">
        <f t="shared" si="9"/>
        <v>#DIV/0!</v>
      </c>
      <c r="G176" s="200" t="s">
        <v>364</v>
      </c>
      <c r="H176" s="239">
        <f t="shared" si="7"/>
        <v>0</v>
      </c>
      <c r="I176" s="191"/>
      <c r="J176" s="191"/>
      <c r="K176" s="191"/>
      <c r="L176" s="191"/>
      <c r="M176" s="191"/>
      <c r="N176" s="191">
        <f>D176</f>
        <v>8000</v>
      </c>
    </row>
    <row r="177" spans="1:14" ht="18">
      <c r="A177" s="106"/>
      <c r="B177" s="108"/>
      <c r="C177" s="94"/>
      <c r="D177" s="94"/>
      <c r="E177" s="93"/>
      <c r="F177" s="238"/>
      <c r="G177" s="200"/>
      <c r="H177" s="239">
        <f t="shared" si="7"/>
        <v>0</v>
      </c>
      <c r="I177" s="84"/>
      <c r="J177" s="84"/>
      <c r="K177" s="84"/>
      <c r="L177" s="84"/>
      <c r="M177" s="84"/>
      <c r="N177" s="84"/>
    </row>
    <row r="178" spans="1:14" ht="18">
      <c r="A178" s="107" t="s">
        <v>284</v>
      </c>
      <c r="B178" s="253" t="s">
        <v>285</v>
      </c>
      <c r="C178" s="98">
        <f>SUM(C179:C180)</f>
        <v>5000</v>
      </c>
      <c r="D178" s="98">
        <f>SUM(D179:D180)</f>
        <v>200</v>
      </c>
      <c r="E178" s="93">
        <f t="shared" si="8"/>
        <v>-4800</v>
      </c>
      <c r="F178" s="238">
        <f t="shared" si="9"/>
        <v>4</v>
      </c>
      <c r="G178" s="200"/>
      <c r="H178" s="239">
        <f t="shared" si="7"/>
        <v>0</v>
      </c>
      <c r="I178" s="84"/>
      <c r="J178" s="84"/>
      <c r="K178" s="84"/>
      <c r="L178" s="84"/>
      <c r="M178" s="84"/>
      <c r="N178" s="84"/>
    </row>
    <row r="179" spans="1:14" ht="18">
      <c r="A179" s="106" t="s">
        <v>34</v>
      </c>
      <c r="B179" s="108" t="s">
        <v>35</v>
      </c>
      <c r="C179" s="94">
        <v>2500</v>
      </c>
      <c r="D179" s="94">
        <v>100</v>
      </c>
      <c r="E179" s="93">
        <f t="shared" si="8"/>
        <v>-2400</v>
      </c>
      <c r="F179" s="238">
        <f t="shared" si="9"/>
        <v>4</v>
      </c>
      <c r="G179" s="200"/>
      <c r="H179" s="239">
        <f t="shared" si="7"/>
        <v>100</v>
      </c>
      <c r="I179" s="84"/>
      <c r="J179" s="191">
        <f>D179</f>
        <v>100</v>
      </c>
      <c r="K179" s="84"/>
      <c r="L179" s="84"/>
      <c r="M179" s="84"/>
      <c r="N179" s="84"/>
    </row>
    <row r="180" spans="1:14" ht="18">
      <c r="A180" s="106" t="s">
        <v>16</v>
      </c>
      <c r="B180" s="108" t="s">
        <v>17</v>
      </c>
      <c r="C180" s="94">
        <v>2500</v>
      </c>
      <c r="D180" s="94">
        <v>100</v>
      </c>
      <c r="E180" s="93">
        <f t="shared" si="8"/>
        <v>-2400</v>
      </c>
      <c r="F180" s="238">
        <f t="shared" si="9"/>
        <v>4</v>
      </c>
      <c r="G180" s="200"/>
      <c r="H180" s="239">
        <f t="shared" si="7"/>
        <v>100</v>
      </c>
      <c r="I180" s="84"/>
      <c r="J180" s="191">
        <f>D180</f>
        <v>100</v>
      </c>
      <c r="K180" s="84"/>
      <c r="L180" s="84"/>
      <c r="M180" s="84"/>
      <c r="N180" s="84"/>
    </row>
    <row r="181" spans="1:14" ht="18">
      <c r="A181" s="106"/>
      <c r="B181" s="108"/>
      <c r="C181" s="94"/>
      <c r="D181" s="94"/>
      <c r="E181" s="93"/>
      <c r="F181" s="238"/>
      <c r="G181" s="200"/>
      <c r="H181" s="239">
        <f t="shared" si="7"/>
        <v>0</v>
      </c>
      <c r="I181" s="84"/>
      <c r="J181" s="84"/>
      <c r="K181" s="84"/>
      <c r="L181" s="84"/>
      <c r="M181" s="84"/>
      <c r="N181" s="84"/>
    </row>
    <row r="182" spans="1:14" ht="18">
      <c r="A182" s="107" t="s">
        <v>286</v>
      </c>
      <c r="B182" s="253" t="s">
        <v>47</v>
      </c>
      <c r="C182" s="98">
        <f>SUM(C183:C184)</f>
        <v>5000</v>
      </c>
      <c r="D182" s="98">
        <f>SUM(D183:D184)</f>
        <v>15000</v>
      </c>
      <c r="E182" s="93">
        <f t="shared" si="8"/>
        <v>10000</v>
      </c>
      <c r="F182" s="238">
        <f t="shared" si="9"/>
        <v>300</v>
      </c>
      <c r="G182" s="200"/>
      <c r="H182" s="239">
        <f t="shared" si="7"/>
        <v>0</v>
      </c>
      <c r="I182" s="84"/>
      <c r="J182" s="84"/>
      <c r="K182" s="84"/>
      <c r="L182" s="84"/>
      <c r="M182" s="84"/>
      <c r="N182" s="84"/>
    </row>
    <row r="183" spans="1:14" ht="18">
      <c r="A183" s="106" t="s">
        <v>34</v>
      </c>
      <c r="B183" s="108" t="s">
        <v>35</v>
      </c>
      <c r="C183" s="94">
        <v>2500</v>
      </c>
      <c r="D183" s="94">
        <v>10000</v>
      </c>
      <c r="E183" s="93">
        <f t="shared" si="8"/>
        <v>7500</v>
      </c>
      <c r="F183" s="238">
        <f t="shared" si="9"/>
        <v>400</v>
      </c>
      <c r="G183" s="200"/>
      <c r="H183" s="239">
        <f t="shared" si="7"/>
        <v>10000</v>
      </c>
      <c r="I183" s="84"/>
      <c r="J183" s="191">
        <f>D183</f>
        <v>10000</v>
      </c>
      <c r="K183" s="84"/>
      <c r="L183" s="84"/>
      <c r="M183" s="84"/>
      <c r="N183" s="84"/>
    </row>
    <row r="184" spans="1:14" ht="18">
      <c r="A184" s="106" t="s">
        <v>16</v>
      </c>
      <c r="B184" s="108" t="s">
        <v>17</v>
      </c>
      <c r="C184" s="94">
        <v>2500</v>
      </c>
      <c r="D184" s="94">
        <v>5000</v>
      </c>
      <c r="E184" s="93">
        <f t="shared" si="8"/>
        <v>2500</v>
      </c>
      <c r="F184" s="238">
        <f t="shared" si="9"/>
        <v>200</v>
      </c>
      <c r="G184" s="200"/>
      <c r="H184" s="239">
        <f t="shared" si="7"/>
        <v>5000</v>
      </c>
      <c r="I184" s="84"/>
      <c r="J184" s="191">
        <f>D184</f>
        <v>5000</v>
      </c>
      <c r="K184" s="84"/>
      <c r="L184" s="84"/>
      <c r="M184" s="84"/>
      <c r="N184" s="84"/>
    </row>
    <row r="185" spans="1:14" ht="18">
      <c r="A185" s="106"/>
      <c r="B185" s="108"/>
      <c r="C185" s="94"/>
      <c r="D185" s="102"/>
      <c r="E185" s="93"/>
      <c r="F185" s="238"/>
      <c r="G185" s="200"/>
      <c r="H185" s="239">
        <f t="shared" si="7"/>
        <v>0</v>
      </c>
      <c r="I185" s="84"/>
      <c r="J185" s="84"/>
      <c r="K185" s="84"/>
      <c r="L185" s="84"/>
      <c r="M185" s="84"/>
      <c r="N185" s="84"/>
    </row>
    <row r="186" spans="1:14" ht="0.75" customHeight="1">
      <c r="A186" s="107" t="s">
        <v>88</v>
      </c>
      <c r="B186" s="253" t="s">
        <v>15</v>
      </c>
      <c r="C186" s="98">
        <f>SUM(C187:C190)</f>
        <v>0</v>
      </c>
      <c r="D186" s="98"/>
      <c r="E186" s="93">
        <f t="shared" si="8"/>
        <v>0</v>
      </c>
      <c r="F186" s="238" t="e">
        <f t="shared" si="9"/>
        <v>#DIV/0!</v>
      </c>
      <c r="G186" s="200"/>
      <c r="H186" s="239">
        <f t="shared" si="7"/>
        <v>0</v>
      </c>
      <c r="I186" s="84"/>
      <c r="J186" s="84"/>
      <c r="K186" s="84"/>
      <c r="L186" s="84"/>
      <c r="M186" s="84"/>
      <c r="N186" s="84"/>
    </row>
    <row r="187" spans="1:14" ht="18" hidden="1">
      <c r="A187" s="106" t="s">
        <v>89</v>
      </c>
      <c r="B187" s="84" t="s">
        <v>98</v>
      </c>
      <c r="C187" s="94"/>
      <c r="D187" s="85"/>
      <c r="E187" s="93">
        <f t="shared" si="8"/>
        <v>0</v>
      </c>
      <c r="F187" s="238" t="e">
        <f t="shared" si="9"/>
        <v>#DIV/0!</v>
      </c>
      <c r="G187" s="200"/>
      <c r="H187" s="239">
        <f t="shared" si="7"/>
        <v>0</v>
      </c>
      <c r="I187" s="84"/>
      <c r="J187" s="84"/>
      <c r="K187" s="84"/>
      <c r="L187" s="84"/>
      <c r="M187" s="84"/>
      <c r="N187" s="84"/>
    </row>
    <row r="188" spans="1:14" ht="18" hidden="1">
      <c r="A188" s="106" t="s">
        <v>166</v>
      </c>
      <c r="B188" s="108" t="s">
        <v>167</v>
      </c>
      <c r="C188" s="94"/>
      <c r="D188" s="85"/>
      <c r="E188" s="93">
        <f t="shared" si="8"/>
        <v>0</v>
      </c>
      <c r="F188" s="238" t="e">
        <f t="shared" si="9"/>
        <v>#DIV/0!</v>
      </c>
      <c r="G188" s="200"/>
      <c r="H188" s="239">
        <f t="shared" si="7"/>
        <v>0</v>
      </c>
      <c r="I188" s="84"/>
      <c r="J188" s="84"/>
      <c r="K188" s="84"/>
      <c r="L188" s="84"/>
      <c r="M188" s="84"/>
      <c r="N188" s="84"/>
    </row>
    <row r="189" spans="1:14" ht="18" hidden="1">
      <c r="A189" s="106"/>
      <c r="B189" s="108" t="s">
        <v>168</v>
      </c>
      <c r="C189" s="94"/>
      <c r="D189" s="85"/>
      <c r="E189" s="93">
        <f t="shared" si="8"/>
        <v>0</v>
      </c>
      <c r="F189" s="238" t="e">
        <f t="shared" si="9"/>
        <v>#DIV/0!</v>
      </c>
      <c r="G189" s="200"/>
      <c r="H189" s="239">
        <f t="shared" si="7"/>
        <v>0</v>
      </c>
      <c r="I189" s="84"/>
      <c r="J189" s="84"/>
      <c r="K189" s="84"/>
      <c r="L189" s="84"/>
      <c r="M189" s="84"/>
      <c r="N189" s="84"/>
    </row>
    <row r="190" spans="1:14" ht="18" hidden="1">
      <c r="A190" s="254"/>
      <c r="B190" s="255" t="s">
        <v>169</v>
      </c>
      <c r="C190" s="102"/>
      <c r="D190" s="101"/>
      <c r="E190" s="93">
        <f t="shared" si="8"/>
        <v>0</v>
      </c>
      <c r="F190" s="238" t="e">
        <f t="shared" si="9"/>
        <v>#DIV/0!</v>
      </c>
      <c r="G190" s="200"/>
      <c r="H190" s="239">
        <f t="shared" si="7"/>
        <v>0</v>
      </c>
      <c r="I190" s="84"/>
      <c r="J190" s="84"/>
      <c r="K190" s="84"/>
      <c r="L190" s="84"/>
      <c r="M190" s="84"/>
      <c r="N190" s="84"/>
    </row>
    <row r="191" spans="1:14" ht="18">
      <c r="A191" s="89" t="s">
        <v>173</v>
      </c>
      <c r="B191" s="90" t="s">
        <v>176</v>
      </c>
      <c r="C191" s="91">
        <f>SUM(C193)</f>
        <v>41170</v>
      </c>
      <c r="D191" s="92">
        <f>SUM(D193)</f>
        <v>42500</v>
      </c>
      <c r="E191" s="93">
        <f t="shared" si="8"/>
        <v>1330</v>
      </c>
      <c r="F191" s="238">
        <f t="shared" si="9"/>
        <v>103.23050765120233</v>
      </c>
      <c r="G191" s="200"/>
      <c r="H191" s="239">
        <f t="shared" si="7"/>
        <v>0</v>
      </c>
      <c r="I191" s="84"/>
      <c r="J191" s="84"/>
      <c r="K191" s="84"/>
      <c r="L191" s="84"/>
      <c r="M191" s="84"/>
      <c r="N191" s="84"/>
    </row>
    <row r="192" spans="1:14" ht="18">
      <c r="A192" s="83"/>
      <c r="B192" s="84"/>
      <c r="C192" s="85"/>
      <c r="D192" s="94"/>
      <c r="E192" s="93"/>
      <c r="F192" s="238"/>
      <c r="G192" s="200"/>
      <c r="H192" s="239">
        <f t="shared" si="7"/>
        <v>0</v>
      </c>
      <c r="I192" s="84"/>
      <c r="J192" s="84"/>
      <c r="K192" s="84"/>
      <c r="L192" s="84"/>
      <c r="M192" s="84"/>
      <c r="N192" s="84"/>
    </row>
    <row r="193" spans="1:14" ht="36">
      <c r="A193" s="95" t="s">
        <v>174</v>
      </c>
      <c r="B193" s="256" t="s">
        <v>175</v>
      </c>
      <c r="C193" s="97">
        <f>SUM(C194:C195)</f>
        <v>41170</v>
      </c>
      <c r="D193" s="98">
        <f>SUM(D194:D195)</f>
        <v>42500</v>
      </c>
      <c r="E193" s="93">
        <f t="shared" si="8"/>
        <v>1330</v>
      </c>
      <c r="F193" s="238">
        <f t="shared" si="9"/>
        <v>103.23050765120233</v>
      </c>
      <c r="G193" s="200"/>
      <c r="H193" s="239">
        <f t="shared" si="7"/>
        <v>0</v>
      </c>
      <c r="I193" s="84"/>
      <c r="J193" s="84"/>
      <c r="K193" s="84"/>
      <c r="L193" s="84"/>
      <c r="M193" s="84"/>
      <c r="N193" s="84"/>
    </row>
    <row r="194" spans="1:14" ht="18">
      <c r="A194" s="83" t="s">
        <v>62</v>
      </c>
      <c r="B194" s="84" t="s">
        <v>63</v>
      </c>
      <c r="C194" s="85">
        <v>39670</v>
      </c>
      <c r="D194" s="94">
        <v>41000</v>
      </c>
      <c r="E194" s="93">
        <f t="shared" si="8"/>
        <v>1330</v>
      </c>
      <c r="F194" s="238">
        <f t="shared" si="9"/>
        <v>103.35265944038316</v>
      </c>
      <c r="G194" s="200"/>
      <c r="H194" s="239">
        <f t="shared" si="7"/>
        <v>41000</v>
      </c>
      <c r="I194" s="84"/>
      <c r="J194" s="84"/>
      <c r="K194" s="84"/>
      <c r="L194" s="191">
        <f>D194</f>
        <v>41000</v>
      </c>
      <c r="M194" s="84"/>
      <c r="N194" s="84"/>
    </row>
    <row r="195" spans="1:14" ht="18">
      <c r="A195" s="83" t="s">
        <v>53</v>
      </c>
      <c r="B195" s="84" t="s">
        <v>54</v>
      </c>
      <c r="C195" s="85">
        <v>1500</v>
      </c>
      <c r="D195" s="94">
        <v>1500</v>
      </c>
      <c r="E195" s="93">
        <f t="shared" si="8"/>
        <v>0</v>
      </c>
      <c r="F195" s="238">
        <f t="shared" si="9"/>
        <v>100</v>
      </c>
      <c r="G195" s="200"/>
      <c r="H195" s="239">
        <f t="shared" si="7"/>
        <v>1500</v>
      </c>
      <c r="I195" s="84"/>
      <c r="J195" s="191">
        <f>D195</f>
        <v>1500</v>
      </c>
      <c r="K195" s="84"/>
      <c r="L195" s="84"/>
      <c r="M195" s="84"/>
      <c r="N195" s="84"/>
    </row>
    <row r="196" spans="1:14" ht="18">
      <c r="A196" s="99"/>
      <c r="B196" s="100"/>
      <c r="C196" s="101"/>
      <c r="D196" s="102"/>
      <c r="E196" s="93"/>
      <c r="F196" s="238"/>
      <c r="G196" s="200"/>
      <c r="H196" s="239">
        <f t="shared" si="7"/>
        <v>0</v>
      </c>
      <c r="I196" s="84"/>
      <c r="J196" s="84"/>
      <c r="K196" s="84"/>
      <c r="L196" s="84"/>
      <c r="M196" s="84"/>
      <c r="N196" s="84"/>
    </row>
    <row r="197" spans="1:14" ht="18">
      <c r="A197" s="89" t="s">
        <v>197</v>
      </c>
      <c r="B197" s="90" t="s">
        <v>198</v>
      </c>
      <c r="C197" s="91">
        <f>SUM(C199)</f>
        <v>50000</v>
      </c>
      <c r="D197" s="92">
        <f>SUM(D199)</f>
        <v>50000</v>
      </c>
      <c r="E197" s="93">
        <f t="shared" si="8"/>
        <v>0</v>
      </c>
      <c r="F197" s="238">
        <f t="shared" si="9"/>
        <v>100</v>
      </c>
      <c r="G197" s="200"/>
      <c r="H197" s="239">
        <f t="shared" si="7"/>
        <v>0</v>
      </c>
      <c r="I197" s="84"/>
      <c r="J197" s="84"/>
      <c r="K197" s="84"/>
      <c r="L197" s="84"/>
      <c r="M197" s="84"/>
      <c r="N197" s="84"/>
    </row>
    <row r="198" spans="1:14" ht="18">
      <c r="A198" s="83"/>
      <c r="B198" s="84"/>
      <c r="C198" s="85"/>
      <c r="D198" s="94"/>
      <c r="E198" s="93"/>
      <c r="F198" s="238"/>
      <c r="G198" s="200"/>
      <c r="H198" s="239">
        <f t="shared" si="7"/>
        <v>0</v>
      </c>
      <c r="I198" s="84"/>
      <c r="J198" s="84"/>
      <c r="K198" s="84"/>
      <c r="L198" s="84"/>
      <c r="M198" s="84"/>
      <c r="N198" s="84"/>
    </row>
    <row r="199" spans="1:14" ht="18">
      <c r="A199" s="95" t="s">
        <v>199</v>
      </c>
      <c r="B199" s="96" t="s">
        <v>201</v>
      </c>
      <c r="C199" s="97">
        <f>SUM(C201:C202)</f>
        <v>50000</v>
      </c>
      <c r="D199" s="98">
        <f>SUM(D201:D202)</f>
        <v>50000</v>
      </c>
      <c r="E199" s="93">
        <f t="shared" si="8"/>
        <v>0</v>
      </c>
      <c r="F199" s="238">
        <f t="shared" si="9"/>
        <v>100</v>
      </c>
      <c r="G199" s="200"/>
      <c r="H199" s="239">
        <f t="shared" si="7"/>
        <v>0</v>
      </c>
      <c r="I199" s="84"/>
      <c r="J199" s="84"/>
      <c r="K199" s="84"/>
      <c r="L199" s="84"/>
      <c r="M199" s="84"/>
      <c r="N199" s="84"/>
    </row>
    <row r="200" spans="1:14" ht="18">
      <c r="A200" s="95"/>
      <c r="B200" s="96" t="s">
        <v>200</v>
      </c>
      <c r="C200" s="97"/>
      <c r="D200" s="98"/>
      <c r="E200" s="93"/>
      <c r="F200" s="238"/>
      <c r="G200" s="200"/>
      <c r="H200" s="239">
        <f aca="true" t="shared" si="11" ref="H200:H264">SUM(I200:M200)</f>
        <v>0</v>
      </c>
      <c r="I200" s="84"/>
      <c r="J200" s="84"/>
      <c r="K200" s="84"/>
      <c r="L200" s="84"/>
      <c r="M200" s="84"/>
      <c r="N200" s="84"/>
    </row>
    <row r="201" spans="1:14" ht="18">
      <c r="A201" s="83" t="s">
        <v>266</v>
      </c>
      <c r="B201" s="84" t="s">
        <v>267</v>
      </c>
      <c r="C201" s="85">
        <v>50000</v>
      </c>
      <c r="D201" s="94">
        <v>50000</v>
      </c>
      <c r="E201" s="93">
        <f t="shared" si="8"/>
        <v>0</v>
      </c>
      <c r="F201" s="238">
        <f t="shared" si="9"/>
        <v>100</v>
      </c>
      <c r="G201" s="200"/>
      <c r="H201" s="239">
        <f t="shared" si="11"/>
        <v>50000</v>
      </c>
      <c r="I201" s="84"/>
      <c r="J201" s="84"/>
      <c r="K201" s="84"/>
      <c r="L201" s="84"/>
      <c r="M201" s="191">
        <f>D201</f>
        <v>50000</v>
      </c>
      <c r="N201" s="84"/>
    </row>
    <row r="202" spans="1:14" ht="18">
      <c r="A202" s="83"/>
      <c r="B202" s="84" t="s">
        <v>268</v>
      </c>
      <c r="C202" s="85"/>
      <c r="D202" s="94"/>
      <c r="E202" s="93"/>
      <c r="F202" s="238"/>
      <c r="G202" s="200"/>
      <c r="H202" s="239">
        <f t="shared" si="11"/>
        <v>0</v>
      </c>
      <c r="I202" s="84"/>
      <c r="J202" s="84"/>
      <c r="K202" s="84"/>
      <c r="L202" s="84"/>
      <c r="M202" s="84"/>
      <c r="N202" s="84"/>
    </row>
    <row r="203" spans="1:14" ht="18">
      <c r="A203" s="99"/>
      <c r="B203" s="100"/>
      <c r="C203" s="101"/>
      <c r="D203" s="102"/>
      <c r="E203" s="93"/>
      <c r="F203" s="238"/>
      <c r="G203" s="200"/>
      <c r="H203" s="239">
        <f t="shared" si="11"/>
        <v>0</v>
      </c>
      <c r="I203" s="84"/>
      <c r="J203" s="84"/>
      <c r="K203" s="84"/>
      <c r="L203" s="84"/>
      <c r="M203" s="84"/>
      <c r="N203" s="84"/>
    </row>
    <row r="204" spans="1:14" ht="18">
      <c r="A204" s="95" t="s">
        <v>90</v>
      </c>
      <c r="B204" s="96" t="s">
        <v>91</v>
      </c>
      <c r="C204" s="97">
        <f>SUM(C206)</f>
        <v>100000</v>
      </c>
      <c r="D204" s="98">
        <f>SUM(D206)</f>
        <v>125000</v>
      </c>
      <c r="E204" s="93">
        <f t="shared" si="8"/>
        <v>25000</v>
      </c>
      <c r="F204" s="238">
        <f t="shared" si="9"/>
        <v>125</v>
      </c>
      <c r="G204" s="200"/>
      <c r="H204" s="239">
        <f t="shared" si="11"/>
        <v>0</v>
      </c>
      <c r="I204" s="84"/>
      <c r="J204" s="84"/>
      <c r="K204" s="84"/>
      <c r="L204" s="84"/>
      <c r="M204" s="84"/>
      <c r="N204" s="84"/>
    </row>
    <row r="205" spans="1:14" ht="18">
      <c r="A205" s="83"/>
      <c r="B205" s="84"/>
      <c r="C205" s="85"/>
      <c r="D205" s="94"/>
      <c r="E205" s="93"/>
      <c r="F205" s="238"/>
      <c r="G205" s="200"/>
      <c r="H205" s="239">
        <f t="shared" si="11"/>
        <v>0</v>
      </c>
      <c r="I205" s="84"/>
      <c r="J205" s="84"/>
      <c r="K205" s="84"/>
      <c r="L205" s="84"/>
      <c r="M205" s="84"/>
      <c r="N205" s="84"/>
    </row>
    <row r="206" spans="1:14" ht="18">
      <c r="A206" s="95" t="s">
        <v>92</v>
      </c>
      <c r="B206" s="96" t="s">
        <v>93</v>
      </c>
      <c r="C206" s="97">
        <f>SUM(C207:C209)</f>
        <v>100000</v>
      </c>
      <c r="D206" s="98">
        <f>SUM(D207:D209)</f>
        <v>125000</v>
      </c>
      <c r="E206" s="93">
        <f t="shared" si="8"/>
        <v>25000</v>
      </c>
      <c r="F206" s="238">
        <f t="shared" si="9"/>
        <v>125</v>
      </c>
      <c r="G206" s="200"/>
      <c r="H206" s="239">
        <f t="shared" si="11"/>
        <v>0</v>
      </c>
      <c r="I206" s="84"/>
      <c r="J206" s="84"/>
      <c r="K206" s="84"/>
      <c r="L206" s="84"/>
      <c r="M206" s="84"/>
      <c r="N206" s="84"/>
    </row>
    <row r="207" spans="1:14" ht="18">
      <c r="A207" s="83" t="s">
        <v>94</v>
      </c>
      <c r="B207" s="84" t="s">
        <v>95</v>
      </c>
      <c r="C207" s="85">
        <v>100000</v>
      </c>
      <c r="D207" s="94">
        <v>105000</v>
      </c>
      <c r="E207" s="93">
        <f t="shared" si="8"/>
        <v>5000</v>
      </c>
      <c r="F207" s="238">
        <f t="shared" si="9"/>
        <v>105</v>
      </c>
      <c r="G207" s="200" t="s">
        <v>367</v>
      </c>
      <c r="H207" s="239">
        <f t="shared" si="11"/>
        <v>105000</v>
      </c>
      <c r="I207" s="84"/>
      <c r="J207" s="191">
        <f>D207</f>
        <v>105000</v>
      </c>
      <c r="K207" s="84"/>
      <c r="L207" s="84"/>
      <c r="M207" s="84"/>
      <c r="N207" s="84"/>
    </row>
    <row r="208" spans="1:14" ht="18">
      <c r="A208" s="83" t="s">
        <v>554</v>
      </c>
      <c r="B208" s="84" t="s">
        <v>555</v>
      </c>
      <c r="C208" s="85">
        <v>0</v>
      </c>
      <c r="D208" s="94">
        <v>20000</v>
      </c>
      <c r="E208" s="93"/>
      <c r="F208" s="238"/>
      <c r="G208" s="200"/>
      <c r="H208" s="239"/>
      <c r="I208" s="84"/>
      <c r="J208" s="191"/>
      <c r="K208" s="84"/>
      <c r="L208" s="84"/>
      <c r="M208" s="84"/>
      <c r="N208" s="84"/>
    </row>
    <row r="209" spans="1:14" ht="18">
      <c r="A209" s="83"/>
      <c r="B209" s="84"/>
      <c r="C209" s="85">
        <v>0</v>
      </c>
      <c r="D209" s="94"/>
      <c r="E209" s="93"/>
      <c r="F209" s="238"/>
      <c r="G209" s="200"/>
      <c r="H209" s="239">
        <f t="shared" si="11"/>
        <v>0</v>
      </c>
      <c r="I209" s="84"/>
      <c r="J209" s="84"/>
      <c r="K209" s="84"/>
      <c r="L209" s="84"/>
      <c r="M209" s="84"/>
      <c r="N209" s="84"/>
    </row>
    <row r="210" spans="1:14" ht="18">
      <c r="A210" s="89" t="s">
        <v>96</v>
      </c>
      <c r="B210" s="90" t="s">
        <v>97</v>
      </c>
      <c r="C210" s="91">
        <f>C212+C243+C266+C295+C301+C330+C336+C327</f>
        <v>6326600</v>
      </c>
      <c r="D210" s="92">
        <f>D212+D243+D266+D295+D301+D330+D336+D327</f>
        <v>6571301</v>
      </c>
      <c r="E210" s="93">
        <f t="shared" si="8"/>
        <v>244701</v>
      </c>
      <c r="F210" s="238">
        <f t="shared" si="9"/>
        <v>103.86781209496412</v>
      </c>
      <c r="G210" s="200"/>
      <c r="H210" s="239">
        <f t="shared" si="11"/>
        <v>0</v>
      </c>
      <c r="I210" s="84"/>
      <c r="J210" s="84"/>
      <c r="K210" s="84"/>
      <c r="L210" s="84"/>
      <c r="M210" s="84"/>
      <c r="N210" s="84"/>
    </row>
    <row r="211" spans="1:14" ht="20.25" customHeight="1">
      <c r="A211" s="95"/>
      <c r="B211" s="96"/>
      <c r="C211" s="97"/>
      <c r="D211" s="98"/>
      <c r="E211" s="93"/>
      <c r="F211" s="238"/>
      <c r="G211" s="200"/>
      <c r="H211" s="239">
        <f t="shared" si="11"/>
        <v>0</v>
      </c>
      <c r="I211" s="84"/>
      <c r="J211" s="84"/>
      <c r="K211" s="84"/>
      <c r="L211" s="84"/>
      <c r="M211" s="84"/>
      <c r="N211" s="84"/>
    </row>
    <row r="212" spans="1:14" ht="20.25" customHeight="1">
      <c r="A212" s="95" t="s">
        <v>164</v>
      </c>
      <c r="B212" s="96" t="s">
        <v>165</v>
      </c>
      <c r="C212" s="97">
        <f>SUM(C213:C240)</f>
        <v>3665100</v>
      </c>
      <c r="D212" s="98">
        <f>SUM(D213:D240)</f>
        <v>4091900</v>
      </c>
      <c r="E212" s="93">
        <f t="shared" si="8"/>
        <v>426800</v>
      </c>
      <c r="F212" s="238">
        <f t="shared" si="9"/>
        <v>111.64497558047529</v>
      </c>
      <c r="G212" s="200"/>
      <c r="H212" s="239">
        <f t="shared" si="11"/>
        <v>0</v>
      </c>
      <c r="I212" s="84"/>
      <c r="J212" s="84"/>
      <c r="K212" s="84"/>
      <c r="L212" s="84"/>
      <c r="M212" s="84"/>
      <c r="N212" s="84"/>
    </row>
    <row r="213" spans="1:14" ht="20.25" customHeight="1">
      <c r="A213" s="103" t="s">
        <v>231</v>
      </c>
      <c r="B213" s="104" t="s">
        <v>293</v>
      </c>
      <c r="C213" s="105">
        <f>5300+148300+5000</f>
        <v>158600</v>
      </c>
      <c r="D213" s="105">
        <f>5000+133200+5000</f>
        <v>143200</v>
      </c>
      <c r="E213" s="93">
        <f aca="true" t="shared" si="12" ref="E213:E277">D213-C213</f>
        <v>-15400</v>
      </c>
      <c r="F213" s="238">
        <f aca="true" t="shared" si="13" ref="F213:F277">D213*100/C213</f>
        <v>90.29003783102144</v>
      </c>
      <c r="G213" s="200"/>
      <c r="H213" s="239">
        <f t="shared" si="11"/>
        <v>143200</v>
      </c>
      <c r="I213" s="84"/>
      <c r="J213" s="84"/>
      <c r="K213" s="84"/>
      <c r="L213" s="191">
        <f>D213</f>
        <v>143200</v>
      </c>
      <c r="M213" s="84"/>
      <c r="N213" s="84"/>
    </row>
    <row r="214" spans="1:14" ht="20.25" customHeight="1">
      <c r="A214" s="103"/>
      <c r="B214" s="104"/>
      <c r="C214" s="105"/>
      <c r="D214" s="105"/>
      <c r="E214" s="93"/>
      <c r="F214" s="238"/>
      <c r="G214" s="200"/>
      <c r="H214" s="239">
        <f t="shared" si="11"/>
        <v>0</v>
      </c>
      <c r="I214" s="84"/>
      <c r="J214" s="84"/>
      <c r="K214" s="84"/>
      <c r="L214" s="84"/>
      <c r="M214" s="84"/>
      <c r="N214" s="84"/>
    </row>
    <row r="215" spans="1:14" ht="20.25" customHeight="1">
      <c r="A215" s="83" t="s">
        <v>22</v>
      </c>
      <c r="B215" s="84" t="s">
        <v>66</v>
      </c>
      <c r="C215" s="85">
        <f>2060100+20400+40300</f>
        <v>2120800</v>
      </c>
      <c r="D215" s="85">
        <v>2159600</v>
      </c>
      <c r="E215" s="93">
        <f t="shared" si="12"/>
        <v>38800</v>
      </c>
      <c r="F215" s="238">
        <f t="shared" si="13"/>
        <v>101.82949830252736</v>
      </c>
      <c r="G215" s="200"/>
      <c r="H215" s="239">
        <f t="shared" si="11"/>
        <v>2159600</v>
      </c>
      <c r="I215" s="191">
        <f>D215</f>
        <v>2159600</v>
      </c>
      <c r="J215" s="84"/>
      <c r="K215" s="84"/>
      <c r="L215" s="84"/>
      <c r="M215" s="84"/>
      <c r="N215" s="84"/>
    </row>
    <row r="216" spans="1:14" ht="20.25" customHeight="1">
      <c r="A216" s="83" t="s">
        <v>24</v>
      </c>
      <c r="B216" s="84" t="s">
        <v>67</v>
      </c>
      <c r="C216" s="85">
        <v>160300</v>
      </c>
      <c r="D216" s="85">
        <v>161100</v>
      </c>
      <c r="E216" s="93">
        <f t="shared" si="12"/>
        <v>800</v>
      </c>
      <c r="F216" s="238">
        <f t="shared" si="13"/>
        <v>100.49906425452276</v>
      </c>
      <c r="G216" s="200"/>
      <c r="H216" s="239">
        <f t="shared" si="11"/>
        <v>161100</v>
      </c>
      <c r="I216" s="191">
        <f>D216</f>
        <v>161100</v>
      </c>
      <c r="J216" s="84"/>
      <c r="K216" s="84"/>
      <c r="L216" s="84"/>
      <c r="M216" s="84"/>
      <c r="N216" s="84"/>
    </row>
    <row r="217" spans="1:14" ht="20.25" customHeight="1">
      <c r="A217" s="83" t="s">
        <v>26</v>
      </c>
      <c r="B217" s="84" t="s">
        <v>27</v>
      </c>
      <c r="C217" s="85">
        <v>365600</v>
      </c>
      <c r="D217" s="85">
        <v>369900</v>
      </c>
      <c r="E217" s="93">
        <f t="shared" si="12"/>
        <v>4300</v>
      </c>
      <c r="F217" s="238">
        <f t="shared" si="13"/>
        <v>101.17614879649891</v>
      </c>
      <c r="G217" s="200"/>
      <c r="H217" s="239">
        <f t="shared" si="11"/>
        <v>369900</v>
      </c>
      <c r="I217" s="191">
        <f>D217</f>
        <v>369900</v>
      </c>
      <c r="J217" s="84"/>
      <c r="K217" s="84"/>
      <c r="L217" s="84"/>
      <c r="M217" s="84"/>
      <c r="N217" s="84"/>
    </row>
    <row r="218" spans="1:14" ht="20.25" customHeight="1">
      <c r="A218" s="83" t="s">
        <v>28</v>
      </c>
      <c r="B218" s="84" t="s">
        <v>29</v>
      </c>
      <c r="C218" s="85">
        <v>58700</v>
      </c>
      <c r="D218" s="85">
        <v>60000</v>
      </c>
      <c r="E218" s="93">
        <f t="shared" si="12"/>
        <v>1300</v>
      </c>
      <c r="F218" s="238">
        <f t="shared" si="13"/>
        <v>102.21465076660988</v>
      </c>
      <c r="G218" s="200"/>
      <c r="H218" s="239">
        <f t="shared" si="11"/>
        <v>60000</v>
      </c>
      <c r="I218" s="191">
        <f>D218</f>
        <v>60000</v>
      </c>
      <c r="J218" s="84"/>
      <c r="K218" s="84"/>
      <c r="L218" s="84"/>
      <c r="M218" s="84"/>
      <c r="N218" s="84"/>
    </row>
    <row r="219" spans="1:14" ht="20.25" customHeight="1">
      <c r="A219" s="83" t="s">
        <v>30</v>
      </c>
      <c r="B219" s="84" t="s">
        <v>59</v>
      </c>
      <c r="C219" s="85">
        <v>0</v>
      </c>
      <c r="D219" s="85">
        <v>0</v>
      </c>
      <c r="E219" s="93">
        <f t="shared" si="12"/>
        <v>0</v>
      </c>
      <c r="F219" s="238" t="e">
        <f t="shared" si="13"/>
        <v>#DIV/0!</v>
      </c>
      <c r="G219" s="200"/>
      <c r="H219" s="239">
        <f t="shared" si="11"/>
        <v>0</v>
      </c>
      <c r="I219" s="84"/>
      <c r="J219" s="191">
        <f>D219</f>
        <v>0</v>
      </c>
      <c r="K219" s="84"/>
      <c r="L219" s="84"/>
      <c r="M219" s="84"/>
      <c r="N219" s="84"/>
    </row>
    <row r="220" spans="1:14" ht="20.25" customHeight="1">
      <c r="A220" s="83" t="s">
        <v>32</v>
      </c>
      <c r="B220" s="84" t="s">
        <v>33</v>
      </c>
      <c r="C220" s="85">
        <v>11000</v>
      </c>
      <c r="D220" s="85">
        <v>100</v>
      </c>
      <c r="E220" s="93">
        <f t="shared" si="12"/>
        <v>-10900</v>
      </c>
      <c r="F220" s="238">
        <f t="shared" si="13"/>
        <v>0.9090909090909091</v>
      </c>
      <c r="G220" s="200"/>
      <c r="H220" s="239">
        <f t="shared" si="11"/>
        <v>100</v>
      </c>
      <c r="I220" s="191">
        <f>D220</f>
        <v>100</v>
      </c>
      <c r="J220" s="84"/>
      <c r="K220" s="84"/>
      <c r="L220" s="84"/>
      <c r="M220" s="84"/>
      <c r="N220" s="84"/>
    </row>
    <row r="221" spans="1:14" ht="20.25" customHeight="1">
      <c r="A221" s="83" t="s">
        <v>34</v>
      </c>
      <c r="B221" s="84" t="s">
        <v>35</v>
      </c>
      <c r="C221" s="85">
        <v>128900</v>
      </c>
      <c r="D221" s="85">
        <v>107300</v>
      </c>
      <c r="E221" s="93">
        <f t="shared" si="12"/>
        <v>-21600</v>
      </c>
      <c r="F221" s="238">
        <f t="shared" si="13"/>
        <v>83.24282389449185</v>
      </c>
      <c r="G221" s="200"/>
      <c r="H221" s="239">
        <f t="shared" si="11"/>
        <v>107300</v>
      </c>
      <c r="I221" s="84"/>
      <c r="J221" s="191">
        <f aca="true" t="shared" si="14" ref="J221:J228">D221</f>
        <v>107300</v>
      </c>
      <c r="K221" s="84"/>
      <c r="L221" s="84"/>
      <c r="M221" s="84"/>
      <c r="N221" s="84"/>
    </row>
    <row r="222" spans="1:14" ht="20.25" customHeight="1">
      <c r="A222" s="83" t="s">
        <v>245</v>
      </c>
      <c r="B222" s="84" t="s">
        <v>294</v>
      </c>
      <c r="C222" s="85">
        <v>12200</v>
      </c>
      <c r="D222" s="85">
        <v>200</v>
      </c>
      <c r="E222" s="93">
        <f t="shared" si="12"/>
        <v>-12000</v>
      </c>
      <c r="F222" s="238">
        <f t="shared" si="13"/>
        <v>1.639344262295082</v>
      </c>
      <c r="G222" s="200"/>
      <c r="H222" s="239">
        <f t="shared" si="11"/>
        <v>200</v>
      </c>
      <c r="I222" s="84"/>
      <c r="J222" s="191">
        <f t="shared" si="14"/>
        <v>200</v>
      </c>
      <c r="K222" s="84"/>
      <c r="L222" s="84"/>
      <c r="M222" s="84"/>
      <c r="N222" s="84"/>
    </row>
    <row r="223" spans="1:14" ht="20.25" customHeight="1">
      <c r="A223" s="83" t="s">
        <v>68</v>
      </c>
      <c r="B223" s="84" t="s">
        <v>69</v>
      </c>
      <c r="C223" s="85">
        <f>32600+108500</f>
        <v>141100</v>
      </c>
      <c r="D223" s="85">
        <v>108500</v>
      </c>
      <c r="E223" s="93">
        <f t="shared" si="12"/>
        <v>-32600</v>
      </c>
      <c r="F223" s="238">
        <f t="shared" si="13"/>
        <v>76.8958185683912</v>
      </c>
      <c r="G223" s="200"/>
      <c r="H223" s="239">
        <f t="shared" si="11"/>
        <v>108500</v>
      </c>
      <c r="I223" s="84"/>
      <c r="J223" s="191">
        <f t="shared" si="14"/>
        <v>108500</v>
      </c>
      <c r="K223" s="84"/>
      <c r="L223" s="84"/>
      <c r="M223" s="84"/>
      <c r="N223" s="84"/>
    </row>
    <row r="224" spans="1:14" ht="20.25" customHeight="1">
      <c r="A224" s="83" t="s">
        <v>44</v>
      </c>
      <c r="B224" s="84" t="s">
        <v>45</v>
      </c>
      <c r="C224" s="85">
        <f>2000+22000</f>
        <v>24000</v>
      </c>
      <c r="D224" s="85">
        <v>100</v>
      </c>
      <c r="E224" s="93">
        <f t="shared" si="12"/>
        <v>-23900</v>
      </c>
      <c r="F224" s="238">
        <f t="shared" si="13"/>
        <v>0.4166666666666667</v>
      </c>
      <c r="G224" s="200"/>
      <c r="H224" s="239">
        <f t="shared" si="11"/>
        <v>100</v>
      </c>
      <c r="I224" s="84"/>
      <c r="J224" s="191">
        <f t="shared" si="14"/>
        <v>100</v>
      </c>
      <c r="K224" s="84"/>
      <c r="L224" s="84"/>
      <c r="M224" s="84"/>
      <c r="N224" s="84"/>
    </row>
    <row r="225" spans="1:14" ht="20.25" customHeight="1">
      <c r="A225" s="83" t="s">
        <v>70</v>
      </c>
      <c r="B225" s="84" t="s">
        <v>71</v>
      </c>
      <c r="C225" s="85">
        <v>6700</v>
      </c>
      <c r="D225" s="85">
        <v>6700</v>
      </c>
      <c r="E225" s="93">
        <f t="shared" si="12"/>
        <v>0</v>
      </c>
      <c r="F225" s="238">
        <f t="shared" si="13"/>
        <v>100</v>
      </c>
      <c r="G225" s="200"/>
      <c r="H225" s="239">
        <f t="shared" si="11"/>
        <v>6700</v>
      </c>
      <c r="I225" s="84"/>
      <c r="J225" s="191">
        <f t="shared" si="14"/>
        <v>6700</v>
      </c>
      <c r="K225" s="84"/>
      <c r="L225" s="84"/>
      <c r="M225" s="84"/>
      <c r="N225" s="84"/>
    </row>
    <row r="226" spans="1:14" ht="20.25" customHeight="1">
      <c r="A226" s="83" t="s">
        <v>16</v>
      </c>
      <c r="B226" s="84" t="s">
        <v>17</v>
      </c>
      <c r="C226" s="85">
        <v>41000</v>
      </c>
      <c r="D226" s="85">
        <v>45000</v>
      </c>
      <c r="E226" s="93">
        <f t="shared" si="12"/>
        <v>4000</v>
      </c>
      <c r="F226" s="238">
        <f t="shared" si="13"/>
        <v>109.7560975609756</v>
      </c>
      <c r="G226" s="200"/>
      <c r="H226" s="239">
        <f t="shared" si="11"/>
        <v>45000</v>
      </c>
      <c r="I226" s="84"/>
      <c r="J226" s="191">
        <f t="shared" si="14"/>
        <v>45000</v>
      </c>
      <c r="K226" s="84"/>
      <c r="L226" s="84"/>
      <c r="M226" s="84"/>
      <c r="N226" s="84"/>
    </row>
    <row r="227" spans="1:14" ht="20.25" customHeight="1">
      <c r="A227" s="83" t="s">
        <v>177</v>
      </c>
      <c r="B227" s="84" t="s">
        <v>178</v>
      </c>
      <c r="C227" s="85">
        <v>100</v>
      </c>
      <c r="D227" s="85">
        <v>0</v>
      </c>
      <c r="E227" s="93">
        <f t="shared" si="12"/>
        <v>-100</v>
      </c>
      <c r="F227" s="238">
        <f t="shared" si="13"/>
        <v>0</v>
      </c>
      <c r="G227" s="200"/>
      <c r="H227" s="239">
        <f t="shared" si="11"/>
        <v>0</v>
      </c>
      <c r="I227" s="84"/>
      <c r="J227" s="191">
        <f t="shared" si="14"/>
        <v>0</v>
      </c>
      <c r="K227" s="84"/>
      <c r="L227" s="84"/>
      <c r="M227" s="84"/>
      <c r="N227" s="84"/>
    </row>
    <row r="228" spans="1:14" ht="20.25" customHeight="1">
      <c r="A228" s="83" t="s">
        <v>214</v>
      </c>
      <c r="B228" s="84" t="s">
        <v>212</v>
      </c>
      <c r="C228" s="85">
        <v>9000</v>
      </c>
      <c r="D228" s="85">
        <v>7000</v>
      </c>
      <c r="E228" s="93">
        <f t="shared" si="12"/>
        <v>-2000</v>
      </c>
      <c r="F228" s="238">
        <f t="shared" si="13"/>
        <v>77.77777777777777</v>
      </c>
      <c r="G228" s="200"/>
      <c r="H228" s="239">
        <f t="shared" si="11"/>
        <v>7000</v>
      </c>
      <c r="I228" s="84"/>
      <c r="J228" s="191">
        <f t="shared" si="14"/>
        <v>7000</v>
      </c>
      <c r="K228" s="84"/>
      <c r="L228" s="84"/>
      <c r="M228" s="84"/>
      <c r="N228" s="84"/>
    </row>
    <row r="229" spans="1:14" ht="20.25" customHeight="1">
      <c r="A229" s="83"/>
      <c r="B229" s="84" t="s">
        <v>215</v>
      </c>
      <c r="C229" s="85"/>
      <c r="D229" s="85"/>
      <c r="E229" s="93"/>
      <c r="F229" s="238"/>
      <c r="G229" s="200"/>
      <c r="H229" s="239">
        <f t="shared" si="11"/>
        <v>0</v>
      </c>
      <c r="I229" s="84"/>
      <c r="J229" s="84"/>
      <c r="K229" s="84"/>
      <c r="L229" s="84"/>
      <c r="M229" s="84"/>
      <c r="N229" s="84"/>
    </row>
    <row r="230" spans="1:14" ht="20.25" customHeight="1">
      <c r="A230" s="83" t="s">
        <v>36</v>
      </c>
      <c r="B230" s="84" t="s">
        <v>37</v>
      </c>
      <c r="C230" s="85">
        <v>6700</v>
      </c>
      <c r="D230" s="85">
        <v>6700</v>
      </c>
      <c r="E230" s="93">
        <f t="shared" si="12"/>
        <v>0</v>
      </c>
      <c r="F230" s="238">
        <f t="shared" si="13"/>
        <v>100</v>
      </c>
      <c r="G230" s="200"/>
      <c r="H230" s="239">
        <f t="shared" si="11"/>
        <v>6700</v>
      </c>
      <c r="I230" s="84"/>
      <c r="J230" s="191">
        <f>D230</f>
        <v>6700</v>
      </c>
      <c r="K230" s="84"/>
      <c r="L230" s="84"/>
      <c r="M230" s="84"/>
      <c r="N230" s="84"/>
    </row>
    <row r="231" spans="1:14" ht="20.25" customHeight="1">
      <c r="A231" s="83" t="s">
        <v>53</v>
      </c>
      <c r="B231" s="84" t="s">
        <v>54</v>
      </c>
      <c r="C231" s="85">
        <v>0</v>
      </c>
      <c r="D231" s="85">
        <v>1000</v>
      </c>
      <c r="E231" s="93">
        <f t="shared" si="12"/>
        <v>1000</v>
      </c>
      <c r="F231" s="238" t="e">
        <f t="shared" si="13"/>
        <v>#DIV/0!</v>
      </c>
      <c r="G231" s="200"/>
      <c r="H231" s="239">
        <f t="shared" si="11"/>
        <v>1000</v>
      </c>
      <c r="I231" s="84"/>
      <c r="J231" s="191">
        <f>D231</f>
        <v>1000</v>
      </c>
      <c r="K231" s="84"/>
      <c r="L231" s="84"/>
      <c r="M231" s="84"/>
      <c r="N231" s="84"/>
    </row>
    <row r="232" spans="1:14" ht="20.25" customHeight="1">
      <c r="A232" s="83" t="s">
        <v>38</v>
      </c>
      <c r="B232" s="84" t="s">
        <v>72</v>
      </c>
      <c r="C232" s="85">
        <v>110800</v>
      </c>
      <c r="D232" s="85">
        <v>123300</v>
      </c>
      <c r="E232" s="93">
        <f t="shared" si="12"/>
        <v>12500</v>
      </c>
      <c r="F232" s="238">
        <f t="shared" si="13"/>
        <v>111.28158844765343</v>
      </c>
      <c r="G232" s="200"/>
      <c r="H232" s="239">
        <f t="shared" si="11"/>
        <v>123300</v>
      </c>
      <c r="I232" s="84"/>
      <c r="J232" s="191">
        <f>D232</f>
        <v>123300</v>
      </c>
      <c r="K232" s="84"/>
      <c r="L232" s="84"/>
      <c r="M232" s="84"/>
      <c r="N232" s="84"/>
    </row>
    <row r="233" spans="1:14" ht="20.25" customHeight="1">
      <c r="A233" s="83" t="s">
        <v>223</v>
      </c>
      <c r="B233" s="84" t="s">
        <v>224</v>
      </c>
      <c r="C233" s="85">
        <v>100</v>
      </c>
      <c r="D233" s="85">
        <v>100</v>
      </c>
      <c r="E233" s="93">
        <f t="shared" si="12"/>
        <v>0</v>
      </c>
      <c r="F233" s="238">
        <f t="shared" si="13"/>
        <v>100</v>
      </c>
      <c r="G233" s="200"/>
      <c r="H233" s="239">
        <f t="shared" si="11"/>
        <v>100</v>
      </c>
      <c r="I233" s="84"/>
      <c r="J233" s="191">
        <f>D233</f>
        <v>100</v>
      </c>
      <c r="K233" s="84"/>
      <c r="L233" s="84"/>
      <c r="M233" s="84"/>
      <c r="N233" s="84"/>
    </row>
    <row r="234" spans="1:14" ht="20.25" customHeight="1">
      <c r="A234" s="83"/>
      <c r="B234" s="84" t="s">
        <v>225</v>
      </c>
      <c r="C234" s="85"/>
      <c r="D234" s="85"/>
      <c r="E234" s="93"/>
      <c r="F234" s="238"/>
      <c r="G234" s="200"/>
      <c r="H234" s="239">
        <f t="shared" si="11"/>
        <v>0</v>
      </c>
      <c r="I234" s="84"/>
      <c r="J234" s="84"/>
      <c r="K234" s="84"/>
      <c r="L234" s="84"/>
      <c r="M234" s="84"/>
      <c r="N234" s="84"/>
    </row>
    <row r="235" spans="1:14" ht="20.25" customHeight="1">
      <c r="A235" s="83" t="s">
        <v>216</v>
      </c>
      <c r="B235" s="84" t="s">
        <v>218</v>
      </c>
      <c r="C235" s="85">
        <v>5000</v>
      </c>
      <c r="D235" s="85">
        <v>2500</v>
      </c>
      <c r="E235" s="93">
        <f t="shared" si="12"/>
        <v>-2500</v>
      </c>
      <c r="F235" s="238">
        <f t="shared" si="13"/>
        <v>50</v>
      </c>
      <c r="G235" s="200"/>
      <c r="H235" s="239">
        <f t="shared" si="11"/>
        <v>2500</v>
      </c>
      <c r="I235" s="84"/>
      <c r="J235" s="191">
        <f>D235</f>
        <v>2500</v>
      </c>
      <c r="K235" s="84"/>
      <c r="L235" s="84"/>
      <c r="M235" s="84"/>
      <c r="N235" s="84"/>
    </row>
    <row r="236" spans="1:14" ht="20.25" customHeight="1">
      <c r="A236" s="83"/>
      <c r="B236" s="84" t="s">
        <v>217</v>
      </c>
      <c r="C236" s="85"/>
      <c r="D236" s="85"/>
      <c r="E236" s="93"/>
      <c r="F236" s="238"/>
      <c r="G236" s="200"/>
      <c r="H236" s="239">
        <f t="shared" si="11"/>
        <v>0</v>
      </c>
      <c r="I236" s="84"/>
      <c r="J236" s="84"/>
      <c r="K236" s="84"/>
      <c r="L236" s="84"/>
      <c r="M236" s="84"/>
      <c r="N236" s="84"/>
    </row>
    <row r="237" spans="1:14" ht="20.25" customHeight="1">
      <c r="A237" s="83" t="s">
        <v>219</v>
      </c>
      <c r="B237" s="84" t="s">
        <v>220</v>
      </c>
      <c r="C237" s="85">
        <v>4500</v>
      </c>
      <c r="D237" s="85">
        <v>4500</v>
      </c>
      <c r="E237" s="93">
        <f t="shared" si="12"/>
        <v>0</v>
      </c>
      <c r="F237" s="238">
        <f t="shared" si="13"/>
        <v>100</v>
      </c>
      <c r="G237" s="200"/>
      <c r="H237" s="239">
        <f t="shared" si="11"/>
        <v>4500</v>
      </c>
      <c r="I237" s="84"/>
      <c r="J237" s="191">
        <f>D237</f>
        <v>4500</v>
      </c>
      <c r="K237" s="84"/>
      <c r="L237" s="84"/>
      <c r="M237" s="84"/>
      <c r="N237" s="84"/>
    </row>
    <row r="238" spans="1:14" ht="20.25" customHeight="1">
      <c r="A238" s="83"/>
      <c r="B238" s="84" t="s">
        <v>221</v>
      </c>
      <c r="C238" s="85"/>
      <c r="D238" s="85"/>
      <c r="E238" s="93"/>
      <c r="F238" s="238"/>
      <c r="G238" s="200"/>
      <c r="H238" s="239">
        <f t="shared" si="11"/>
        <v>0</v>
      </c>
      <c r="I238" s="84"/>
      <c r="J238" s="84"/>
      <c r="K238" s="84"/>
      <c r="L238" s="84"/>
      <c r="M238" s="84"/>
      <c r="N238" s="84"/>
    </row>
    <row r="239" spans="1:14" ht="34.5" customHeight="1">
      <c r="A239" s="83" t="s">
        <v>89</v>
      </c>
      <c r="B239" s="84" t="s">
        <v>98</v>
      </c>
      <c r="C239" s="85">
        <v>300000</v>
      </c>
      <c r="D239" s="94">
        <f>785000</f>
        <v>785000</v>
      </c>
      <c r="E239" s="93">
        <f t="shared" si="12"/>
        <v>485000</v>
      </c>
      <c r="F239" s="238">
        <f t="shared" si="13"/>
        <v>261.6666666666667</v>
      </c>
      <c r="G239" s="200" t="s">
        <v>362</v>
      </c>
      <c r="H239" s="239">
        <f t="shared" si="11"/>
        <v>0</v>
      </c>
      <c r="I239" s="191"/>
      <c r="J239" s="191"/>
      <c r="K239" s="191"/>
      <c r="L239" s="191"/>
      <c r="M239" s="191"/>
      <c r="N239" s="191">
        <f>D239</f>
        <v>785000</v>
      </c>
    </row>
    <row r="240" spans="1:14" ht="39" customHeight="1">
      <c r="A240" s="83" t="s">
        <v>73</v>
      </c>
      <c r="B240" s="84" t="s">
        <v>74</v>
      </c>
      <c r="C240" s="85">
        <v>0</v>
      </c>
      <c r="D240" s="94">
        <v>100</v>
      </c>
      <c r="E240" s="93">
        <f t="shared" si="12"/>
        <v>100</v>
      </c>
      <c r="F240" s="238" t="e">
        <f t="shared" si="13"/>
        <v>#DIV/0!</v>
      </c>
      <c r="G240" s="200"/>
      <c r="H240" s="239">
        <f t="shared" si="11"/>
        <v>0</v>
      </c>
      <c r="I240" s="84"/>
      <c r="J240" s="84"/>
      <c r="K240" s="84"/>
      <c r="L240" s="84"/>
      <c r="M240" s="84"/>
      <c r="N240" s="191">
        <f>D240</f>
        <v>100</v>
      </c>
    </row>
    <row r="241" spans="1:14" ht="20.25" customHeight="1">
      <c r="A241" s="83"/>
      <c r="B241" s="84" t="s">
        <v>75</v>
      </c>
      <c r="C241" s="85"/>
      <c r="D241" s="94"/>
      <c r="E241" s="93"/>
      <c r="F241" s="238"/>
      <c r="G241" s="200"/>
      <c r="H241" s="239">
        <f t="shared" si="11"/>
        <v>0</v>
      </c>
      <c r="I241" s="84"/>
      <c r="J241" s="84"/>
      <c r="K241" s="84"/>
      <c r="L241" s="84"/>
      <c r="M241" s="84"/>
      <c r="N241" s="84"/>
    </row>
    <row r="242" spans="1:14" ht="20.25" customHeight="1">
      <c r="A242" s="83"/>
      <c r="B242" s="84"/>
      <c r="C242" s="85"/>
      <c r="D242" s="94"/>
      <c r="E242" s="93"/>
      <c r="F242" s="238"/>
      <c r="G242" s="200"/>
      <c r="H242" s="239">
        <f t="shared" si="11"/>
        <v>0</v>
      </c>
      <c r="I242" s="84"/>
      <c r="J242" s="84"/>
      <c r="K242" s="84"/>
      <c r="L242" s="84"/>
      <c r="M242" s="84"/>
      <c r="N242" s="84"/>
    </row>
    <row r="243" spans="1:14" ht="20.25" customHeight="1">
      <c r="A243" s="95" t="s">
        <v>295</v>
      </c>
      <c r="B243" s="96" t="s">
        <v>296</v>
      </c>
      <c r="C243" s="97">
        <f>SUM(C244:C264)</f>
        <v>326000</v>
      </c>
      <c r="D243" s="98">
        <f>SUM(D244:D264)</f>
        <v>438800</v>
      </c>
      <c r="E243" s="93">
        <f t="shared" si="12"/>
        <v>112800</v>
      </c>
      <c r="F243" s="238">
        <f t="shared" si="13"/>
        <v>134.60122699386503</v>
      </c>
      <c r="G243" s="200"/>
      <c r="H243" s="239">
        <f t="shared" si="11"/>
        <v>0</v>
      </c>
      <c r="I243" s="84"/>
      <c r="J243" s="84"/>
      <c r="K243" s="84"/>
      <c r="L243" s="84"/>
      <c r="M243" s="84"/>
      <c r="N243" s="84"/>
    </row>
    <row r="244" spans="1:14" ht="20.25" customHeight="1">
      <c r="A244" s="103" t="s">
        <v>231</v>
      </c>
      <c r="B244" s="104" t="s">
        <v>293</v>
      </c>
      <c r="C244" s="105">
        <f>600+17600</f>
        <v>18200</v>
      </c>
      <c r="D244" s="105">
        <f>600+17300</f>
        <v>17900</v>
      </c>
      <c r="E244" s="93">
        <f t="shared" si="12"/>
        <v>-300</v>
      </c>
      <c r="F244" s="238">
        <f t="shared" si="13"/>
        <v>98.35164835164835</v>
      </c>
      <c r="G244" s="200"/>
      <c r="H244" s="239">
        <f t="shared" si="11"/>
        <v>17900</v>
      </c>
      <c r="I244" s="84"/>
      <c r="J244" s="84"/>
      <c r="K244" s="84"/>
      <c r="L244" s="191">
        <f>D244</f>
        <v>17900</v>
      </c>
      <c r="M244" s="84"/>
      <c r="N244" s="84"/>
    </row>
    <row r="245" spans="1:14" ht="20.25" customHeight="1">
      <c r="A245" s="83" t="s">
        <v>22</v>
      </c>
      <c r="B245" s="84" t="s">
        <v>66</v>
      </c>
      <c r="C245" s="85">
        <f>201100+2000+2400</f>
        <v>205500</v>
      </c>
      <c r="D245" s="85">
        <f>208400+2100</f>
        <v>210500</v>
      </c>
      <c r="E245" s="93">
        <f t="shared" si="12"/>
        <v>5000</v>
      </c>
      <c r="F245" s="238">
        <f t="shared" si="13"/>
        <v>102.4330900243309</v>
      </c>
      <c r="G245" s="200"/>
      <c r="H245" s="239">
        <f t="shared" si="11"/>
        <v>210500</v>
      </c>
      <c r="I245" s="191">
        <f>D245</f>
        <v>210500</v>
      </c>
      <c r="J245" s="84"/>
      <c r="K245" s="84"/>
      <c r="L245" s="84"/>
      <c r="M245" s="84"/>
      <c r="N245" s="84"/>
    </row>
    <row r="246" spans="1:14" ht="20.25" customHeight="1">
      <c r="A246" s="83" t="s">
        <v>24</v>
      </c>
      <c r="B246" s="84" t="s">
        <v>67</v>
      </c>
      <c r="C246" s="85">
        <v>13500</v>
      </c>
      <c r="D246" s="85">
        <v>16700</v>
      </c>
      <c r="E246" s="93">
        <f t="shared" si="12"/>
        <v>3200</v>
      </c>
      <c r="F246" s="238">
        <f t="shared" si="13"/>
        <v>123.70370370370371</v>
      </c>
      <c r="G246" s="200"/>
      <c r="H246" s="239">
        <f t="shared" si="11"/>
        <v>16700</v>
      </c>
      <c r="I246" s="191">
        <f>D246</f>
        <v>16700</v>
      </c>
      <c r="J246" s="84"/>
      <c r="K246" s="84"/>
      <c r="L246" s="84"/>
      <c r="M246" s="84"/>
      <c r="N246" s="84"/>
    </row>
    <row r="247" spans="1:14" ht="20.25" customHeight="1">
      <c r="A247" s="83" t="s">
        <v>26</v>
      </c>
      <c r="B247" s="84" t="s">
        <v>27</v>
      </c>
      <c r="C247" s="85">
        <v>35800</v>
      </c>
      <c r="D247" s="85">
        <v>37200</v>
      </c>
      <c r="E247" s="93">
        <f t="shared" si="12"/>
        <v>1400</v>
      </c>
      <c r="F247" s="238">
        <f t="shared" si="13"/>
        <v>103.91061452513966</v>
      </c>
      <c r="G247" s="200"/>
      <c r="H247" s="239">
        <f t="shared" si="11"/>
        <v>37200</v>
      </c>
      <c r="I247" s="191">
        <f>D247</f>
        <v>37200</v>
      </c>
      <c r="J247" s="84"/>
      <c r="K247" s="84"/>
      <c r="L247" s="84"/>
      <c r="M247" s="84"/>
      <c r="N247" s="84"/>
    </row>
    <row r="248" spans="1:14" ht="20.25" customHeight="1">
      <c r="A248" s="83" t="s">
        <v>28</v>
      </c>
      <c r="B248" s="84" t="s">
        <v>29</v>
      </c>
      <c r="C248" s="85">
        <v>5800</v>
      </c>
      <c r="D248" s="85">
        <v>6100</v>
      </c>
      <c r="E248" s="93">
        <f t="shared" si="12"/>
        <v>300</v>
      </c>
      <c r="F248" s="238">
        <f t="shared" si="13"/>
        <v>105.17241379310344</v>
      </c>
      <c r="G248" s="200"/>
      <c r="H248" s="239">
        <f t="shared" si="11"/>
        <v>6100</v>
      </c>
      <c r="I248" s="191">
        <f>D248</f>
        <v>6100</v>
      </c>
      <c r="J248" s="84"/>
      <c r="K248" s="84"/>
      <c r="L248" s="84"/>
      <c r="M248" s="84"/>
      <c r="N248" s="84"/>
    </row>
    <row r="249" spans="1:14" ht="20.25" customHeight="1">
      <c r="A249" s="83" t="s">
        <v>34</v>
      </c>
      <c r="B249" s="84" t="s">
        <v>35</v>
      </c>
      <c r="C249" s="85">
        <v>18000</v>
      </c>
      <c r="D249" s="85">
        <v>124000</v>
      </c>
      <c r="E249" s="93">
        <f t="shared" si="12"/>
        <v>106000</v>
      </c>
      <c r="F249" s="238">
        <f t="shared" si="13"/>
        <v>688.8888888888889</v>
      </c>
      <c r="G249" s="200"/>
      <c r="H249" s="239">
        <f t="shared" si="11"/>
        <v>124000</v>
      </c>
      <c r="I249" s="84"/>
      <c r="J249" s="191">
        <f aca="true" t="shared" si="15" ref="J249:J255">D249</f>
        <v>124000</v>
      </c>
      <c r="K249" s="84"/>
      <c r="L249" s="84"/>
      <c r="M249" s="84"/>
      <c r="N249" s="84"/>
    </row>
    <row r="250" spans="1:14" ht="20.25" customHeight="1">
      <c r="A250" s="83" t="s">
        <v>245</v>
      </c>
      <c r="B250" s="84" t="s">
        <v>294</v>
      </c>
      <c r="C250" s="85">
        <v>100</v>
      </c>
      <c r="D250" s="85">
        <v>0</v>
      </c>
      <c r="E250" s="93">
        <f t="shared" si="12"/>
        <v>-100</v>
      </c>
      <c r="F250" s="238">
        <f t="shared" si="13"/>
        <v>0</v>
      </c>
      <c r="G250" s="200"/>
      <c r="H250" s="239">
        <f t="shared" si="11"/>
        <v>0</v>
      </c>
      <c r="I250" s="84"/>
      <c r="J250" s="191">
        <f t="shared" si="15"/>
        <v>0</v>
      </c>
      <c r="K250" s="84"/>
      <c r="L250" s="84"/>
      <c r="M250" s="84"/>
      <c r="N250" s="84"/>
    </row>
    <row r="251" spans="1:14" ht="20.25" customHeight="1">
      <c r="A251" s="83" t="s">
        <v>68</v>
      </c>
      <c r="B251" s="84" t="s">
        <v>69</v>
      </c>
      <c r="C251" s="85">
        <v>9000</v>
      </c>
      <c r="D251" s="85">
        <v>9000</v>
      </c>
      <c r="E251" s="93">
        <f t="shared" si="12"/>
        <v>0</v>
      </c>
      <c r="F251" s="238">
        <f t="shared" si="13"/>
        <v>100</v>
      </c>
      <c r="G251" s="200"/>
      <c r="H251" s="239">
        <f t="shared" si="11"/>
        <v>9000</v>
      </c>
      <c r="I251" s="84"/>
      <c r="J251" s="191">
        <f t="shared" si="15"/>
        <v>9000</v>
      </c>
      <c r="K251" s="84"/>
      <c r="L251" s="84"/>
      <c r="M251" s="84"/>
      <c r="N251" s="84"/>
    </row>
    <row r="252" spans="1:14" ht="20.25" customHeight="1">
      <c r="A252" s="83" t="s">
        <v>44</v>
      </c>
      <c r="B252" s="84" t="s">
        <v>45</v>
      </c>
      <c r="C252" s="85">
        <v>5000</v>
      </c>
      <c r="D252" s="85">
        <v>1000</v>
      </c>
      <c r="E252" s="93">
        <f t="shared" si="12"/>
        <v>-4000</v>
      </c>
      <c r="F252" s="238">
        <f t="shared" si="13"/>
        <v>20</v>
      </c>
      <c r="G252" s="200"/>
      <c r="H252" s="239">
        <f t="shared" si="11"/>
        <v>1000</v>
      </c>
      <c r="I252" s="84"/>
      <c r="J252" s="191">
        <f t="shared" si="15"/>
        <v>1000</v>
      </c>
      <c r="K252" s="84"/>
      <c r="L252" s="84"/>
      <c r="M252" s="84"/>
      <c r="N252" s="84"/>
    </row>
    <row r="253" spans="1:14" ht="20.25" customHeight="1">
      <c r="A253" s="83" t="s">
        <v>70</v>
      </c>
      <c r="B253" s="84" t="s">
        <v>71</v>
      </c>
      <c r="C253" s="85">
        <v>600</v>
      </c>
      <c r="D253" s="85">
        <v>600</v>
      </c>
      <c r="E253" s="93">
        <f t="shared" si="12"/>
        <v>0</v>
      </c>
      <c r="F253" s="238">
        <f t="shared" si="13"/>
        <v>100</v>
      </c>
      <c r="G253" s="200"/>
      <c r="H253" s="239">
        <f t="shared" si="11"/>
        <v>600</v>
      </c>
      <c r="I253" s="84"/>
      <c r="J253" s="191">
        <f t="shared" si="15"/>
        <v>600</v>
      </c>
      <c r="K253" s="84"/>
      <c r="L253" s="84"/>
      <c r="M253" s="84"/>
      <c r="N253" s="84"/>
    </row>
    <row r="254" spans="1:14" ht="20.25" customHeight="1">
      <c r="A254" s="83" t="s">
        <v>16</v>
      </c>
      <c r="B254" s="84" t="s">
        <v>17</v>
      </c>
      <c r="C254" s="85">
        <v>100</v>
      </c>
      <c r="D254" s="85">
        <v>100</v>
      </c>
      <c r="E254" s="93">
        <f t="shared" si="12"/>
        <v>0</v>
      </c>
      <c r="F254" s="238">
        <f t="shared" si="13"/>
        <v>100</v>
      </c>
      <c r="G254" s="200"/>
      <c r="H254" s="239">
        <f t="shared" si="11"/>
        <v>100</v>
      </c>
      <c r="I254" s="84"/>
      <c r="J254" s="191">
        <f t="shared" si="15"/>
        <v>100</v>
      </c>
      <c r="K254" s="84"/>
      <c r="L254" s="84"/>
      <c r="M254" s="84"/>
      <c r="N254" s="84"/>
    </row>
    <row r="255" spans="1:14" ht="20.25" customHeight="1">
      <c r="A255" s="83" t="s">
        <v>214</v>
      </c>
      <c r="B255" s="84" t="s">
        <v>212</v>
      </c>
      <c r="C255" s="85">
        <v>1500</v>
      </c>
      <c r="D255" s="85">
        <v>1000</v>
      </c>
      <c r="E255" s="93">
        <f t="shared" si="12"/>
        <v>-500</v>
      </c>
      <c r="F255" s="238">
        <f t="shared" si="13"/>
        <v>66.66666666666667</v>
      </c>
      <c r="G255" s="200"/>
      <c r="H255" s="239">
        <f t="shared" si="11"/>
        <v>1000</v>
      </c>
      <c r="I255" s="84"/>
      <c r="J255" s="191">
        <f t="shared" si="15"/>
        <v>1000</v>
      </c>
      <c r="K255" s="84"/>
      <c r="L255" s="84"/>
      <c r="M255" s="84"/>
      <c r="N255" s="84"/>
    </row>
    <row r="256" spans="1:14" ht="20.25" customHeight="1">
      <c r="A256" s="83"/>
      <c r="B256" s="84" t="s">
        <v>215</v>
      </c>
      <c r="C256" s="85"/>
      <c r="D256" s="85"/>
      <c r="E256" s="93"/>
      <c r="F256" s="238"/>
      <c r="G256" s="200"/>
      <c r="H256" s="239">
        <f t="shared" si="11"/>
        <v>0</v>
      </c>
      <c r="I256" s="84"/>
      <c r="J256" s="84"/>
      <c r="K256" s="84"/>
      <c r="L256" s="84"/>
      <c r="M256" s="84"/>
      <c r="N256" s="84"/>
    </row>
    <row r="257" spans="1:14" ht="20.25" customHeight="1">
      <c r="A257" s="83" t="s">
        <v>36</v>
      </c>
      <c r="B257" s="84" t="s">
        <v>37</v>
      </c>
      <c r="C257" s="85">
        <v>100</v>
      </c>
      <c r="D257" s="85">
        <v>100</v>
      </c>
      <c r="E257" s="93">
        <f t="shared" si="12"/>
        <v>0</v>
      </c>
      <c r="F257" s="238">
        <f t="shared" si="13"/>
        <v>100</v>
      </c>
      <c r="G257" s="200"/>
      <c r="H257" s="239">
        <f t="shared" si="11"/>
        <v>100</v>
      </c>
      <c r="I257" s="84"/>
      <c r="J257" s="191">
        <f>D257</f>
        <v>100</v>
      </c>
      <c r="K257" s="84"/>
      <c r="L257" s="84"/>
      <c r="M257" s="84"/>
      <c r="N257" s="84"/>
    </row>
    <row r="258" spans="1:14" ht="20.25" customHeight="1">
      <c r="A258" s="83" t="s">
        <v>38</v>
      </c>
      <c r="B258" s="84" t="s">
        <v>72</v>
      </c>
      <c r="C258" s="85">
        <v>12600</v>
      </c>
      <c r="D258" s="85">
        <v>14400</v>
      </c>
      <c r="E258" s="93">
        <f t="shared" si="12"/>
        <v>1800</v>
      </c>
      <c r="F258" s="238">
        <f t="shared" si="13"/>
        <v>114.28571428571429</v>
      </c>
      <c r="G258" s="200"/>
      <c r="H258" s="239">
        <f t="shared" si="11"/>
        <v>14400</v>
      </c>
      <c r="I258" s="84"/>
      <c r="J258" s="191">
        <f>D258</f>
        <v>14400</v>
      </c>
      <c r="K258" s="84"/>
      <c r="L258" s="84"/>
      <c r="M258" s="84"/>
      <c r="N258" s="84"/>
    </row>
    <row r="259" spans="1:14" ht="20.25" customHeight="1">
      <c r="A259" s="83" t="s">
        <v>223</v>
      </c>
      <c r="B259" s="84" t="s">
        <v>224</v>
      </c>
      <c r="C259" s="85">
        <v>0</v>
      </c>
      <c r="D259" s="85">
        <v>0</v>
      </c>
      <c r="E259" s="93">
        <f t="shared" si="12"/>
        <v>0</v>
      </c>
      <c r="F259" s="238" t="e">
        <f t="shared" si="13"/>
        <v>#DIV/0!</v>
      </c>
      <c r="G259" s="200"/>
      <c r="H259" s="239">
        <f t="shared" si="11"/>
        <v>0</v>
      </c>
      <c r="I259" s="84"/>
      <c r="J259" s="191">
        <f>D259</f>
        <v>0</v>
      </c>
      <c r="K259" s="84"/>
      <c r="L259" s="84"/>
      <c r="M259" s="84"/>
      <c r="N259" s="84"/>
    </row>
    <row r="260" spans="1:14" ht="20.25" customHeight="1">
      <c r="A260" s="83"/>
      <c r="B260" s="84" t="s">
        <v>225</v>
      </c>
      <c r="C260" s="85"/>
      <c r="D260" s="85"/>
      <c r="E260" s="93"/>
      <c r="F260" s="238"/>
      <c r="G260" s="200"/>
      <c r="H260" s="239">
        <f t="shared" si="11"/>
        <v>0</v>
      </c>
      <c r="I260" s="84"/>
      <c r="J260" s="84"/>
      <c r="K260" s="84"/>
      <c r="L260" s="84"/>
      <c r="M260" s="84"/>
      <c r="N260" s="84"/>
    </row>
    <row r="261" spans="1:14" ht="20.25" customHeight="1">
      <c r="A261" s="83" t="s">
        <v>216</v>
      </c>
      <c r="B261" s="84" t="s">
        <v>218</v>
      </c>
      <c r="C261" s="85">
        <v>100</v>
      </c>
      <c r="D261" s="85">
        <v>100</v>
      </c>
      <c r="E261" s="93">
        <f t="shared" si="12"/>
        <v>0</v>
      </c>
      <c r="F261" s="238">
        <f t="shared" si="13"/>
        <v>100</v>
      </c>
      <c r="G261" s="200"/>
      <c r="H261" s="239">
        <f t="shared" si="11"/>
        <v>100</v>
      </c>
      <c r="I261" s="84"/>
      <c r="J261" s="191">
        <f>D261</f>
        <v>100</v>
      </c>
      <c r="K261" s="84"/>
      <c r="L261" s="84"/>
      <c r="M261" s="84"/>
      <c r="N261" s="84"/>
    </row>
    <row r="262" spans="1:14" ht="20.25" customHeight="1">
      <c r="A262" s="83"/>
      <c r="B262" s="84" t="s">
        <v>217</v>
      </c>
      <c r="C262" s="85"/>
      <c r="D262" s="85"/>
      <c r="E262" s="93"/>
      <c r="F262" s="238"/>
      <c r="G262" s="200"/>
      <c r="H262" s="239">
        <f t="shared" si="11"/>
        <v>0</v>
      </c>
      <c r="I262" s="84"/>
      <c r="J262" s="84"/>
      <c r="K262" s="84"/>
      <c r="L262" s="84"/>
      <c r="M262" s="84"/>
      <c r="N262" s="84"/>
    </row>
    <row r="263" spans="1:14" ht="20.25" customHeight="1">
      <c r="A263" s="83" t="s">
        <v>219</v>
      </c>
      <c r="B263" s="84" t="s">
        <v>220</v>
      </c>
      <c r="C263" s="85">
        <v>100</v>
      </c>
      <c r="D263" s="85">
        <v>100</v>
      </c>
      <c r="E263" s="93">
        <f t="shared" si="12"/>
        <v>0</v>
      </c>
      <c r="F263" s="238">
        <f t="shared" si="13"/>
        <v>100</v>
      </c>
      <c r="G263" s="200"/>
      <c r="H263" s="239">
        <f t="shared" si="11"/>
        <v>100</v>
      </c>
      <c r="I263" s="84"/>
      <c r="J263" s="191">
        <f>D263</f>
        <v>100</v>
      </c>
      <c r="K263" s="84"/>
      <c r="L263" s="84"/>
      <c r="M263" s="84"/>
      <c r="N263" s="84"/>
    </row>
    <row r="264" spans="1:14" ht="20.25" customHeight="1">
      <c r="A264" s="83"/>
      <c r="B264" s="84" t="s">
        <v>221</v>
      </c>
      <c r="C264" s="85"/>
      <c r="D264" s="94"/>
      <c r="E264" s="93"/>
      <c r="F264" s="238"/>
      <c r="G264" s="200"/>
      <c r="H264" s="239">
        <f t="shared" si="11"/>
        <v>0</v>
      </c>
      <c r="I264" s="84"/>
      <c r="J264" s="84"/>
      <c r="K264" s="84"/>
      <c r="L264" s="84"/>
      <c r="M264" s="84"/>
      <c r="N264" s="84"/>
    </row>
    <row r="265" spans="1:14" ht="20.25" customHeight="1">
      <c r="A265" s="83"/>
      <c r="B265" s="84"/>
      <c r="C265" s="85"/>
      <c r="D265" s="94"/>
      <c r="E265" s="93"/>
      <c r="F265" s="238"/>
      <c r="G265" s="200"/>
      <c r="H265" s="239">
        <f aca="true" t="shared" si="16" ref="H265:H328">SUM(I265:M265)</f>
        <v>0</v>
      </c>
      <c r="I265" s="84"/>
      <c r="J265" s="84"/>
      <c r="K265" s="84"/>
      <c r="L265" s="84"/>
      <c r="M265" s="84"/>
      <c r="N265" s="84"/>
    </row>
    <row r="266" spans="1:14" ht="20.25" customHeight="1">
      <c r="A266" s="95" t="s">
        <v>246</v>
      </c>
      <c r="B266" s="96" t="s">
        <v>247</v>
      </c>
      <c r="C266" s="97">
        <f>SUM(C267:C292)</f>
        <v>1883800</v>
      </c>
      <c r="D266" s="98">
        <f>SUM(D267:D292)</f>
        <v>1592000</v>
      </c>
      <c r="E266" s="93">
        <f t="shared" si="12"/>
        <v>-291800</v>
      </c>
      <c r="F266" s="238">
        <f t="shared" si="13"/>
        <v>84.51003291219875</v>
      </c>
      <c r="G266" s="200"/>
      <c r="H266" s="239">
        <f t="shared" si="16"/>
        <v>0</v>
      </c>
      <c r="I266" s="84"/>
      <c r="J266" s="84"/>
      <c r="K266" s="84"/>
      <c r="L266" s="84"/>
      <c r="M266" s="84"/>
      <c r="N266" s="84"/>
    </row>
    <row r="267" spans="1:14" ht="20.25" customHeight="1">
      <c r="A267" s="103" t="s">
        <v>231</v>
      </c>
      <c r="B267" s="104" t="s">
        <v>293</v>
      </c>
      <c r="C267" s="85">
        <f>2500+72700+1500</f>
        <v>76700</v>
      </c>
      <c r="D267" s="85">
        <f>2100+56700+1500</f>
        <v>60300</v>
      </c>
      <c r="E267" s="93">
        <f t="shared" si="12"/>
        <v>-16400</v>
      </c>
      <c r="F267" s="238">
        <f t="shared" si="13"/>
        <v>78.6179921773142</v>
      </c>
      <c r="G267" s="200"/>
      <c r="H267" s="239">
        <f t="shared" si="16"/>
        <v>60300</v>
      </c>
      <c r="I267" s="84"/>
      <c r="J267" s="84"/>
      <c r="K267" s="84"/>
      <c r="L267" s="191">
        <f>D267</f>
        <v>60300</v>
      </c>
      <c r="M267" s="84"/>
      <c r="N267" s="84"/>
    </row>
    <row r="268" spans="1:14" ht="20.25" customHeight="1">
      <c r="A268" s="83" t="s">
        <v>22</v>
      </c>
      <c r="B268" s="84" t="s">
        <v>66</v>
      </c>
      <c r="C268" s="85">
        <f>907400+9000</f>
        <v>916400</v>
      </c>
      <c r="D268" s="85">
        <v>846500</v>
      </c>
      <c r="E268" s="93">
        <f t="shared" si="12"/>
        <v>-69900</v>
      </c>
      <c r="F268" s="238">
        <f t="shared" si="13"/>
        <v>92.37232649498036</v>
      </c>
      <c r="G268" s="200"/>
      <c r="H268" s="239">
        <f t="shared" si="16"/>
        <v>846500</v>
      </c>
      <c r="I268" s="191">
        <f>D268</f>
        <v>846500</v>
      </c>
      <c r="J268" s="84"/>
      <c r="K268" s="84"/>
      <c r="L268" s="84"/>
      <c r="M268" s="84"/>
      <c r="N268" s="84"/>
    </row>
    <row r="269" spans="1:14" ht="20.25" customHeight="1">
      <c r="A269" s="83" t="s">
        <v>24</v>
      </c>
      <c r="B269" s="84" t="s">
        <v>67</v>
      </c>
      <c r="C269" s="85">
        <v>66900</v>
      </c>
      <c r="D269" s="85">
        <v>78000</v>
      </c>
      <c r="E269" s="93">
        <f t="shared" si="12"/>
        <v>11100</v>
      </c>
      <c r="F269" s="238">
        <f t="shared" si="13"/>
        <v>116.59192825112108</v>
      </c>
      <c r="G269" s="200"/>
      <c r="H269" s="239">
        <f t="shared" si="16"/>
        <v>78000</v>
      </c>
      <c r="I269" s="191">
        <f>D269</f>
        <v>78000</v>
      </c>
      <c r="J269" s="84"/>
      <c r="K269" s="84"/>
      <c r="L269" s="84"/>
      <c r="M269" s="84"/>
      <c r="N269" s="84"/>
    </row>
    <row r="270" spans="1:14" ht="20.25" customHeight="1">
      <c r="A270" s="83" t="s">
        <v>26</v>
      </c>
      <c r="B270" s="84" t="s">
        <v>27</v>
      </c>
      <c r="C270" s="85">
        <v>161300</v>
      </c>
      <c r="D270" s="85">
        <v>140600</v>
      </c>
      <c r="E270" s="93">
        <f t="shared" si="12"/>
        <v>-20700</v>
      </c>
      <c r="F270" s="238">
        <f t="shared" si="13"/>
        <v>87.16676999380037</v>
      </c>
      <c r="G270" s="200"/>
      <c r="H270" s="239">
        <f t="shared" si="16"/>
        <v>140600</v>
      </c>
      <c r="I270" s="191">
        <f>D270</f>
        <v>140600</v>
      </c>
      <c r="J270" s="84"/>
      <c r="K270" s="84"/>
      <c r="L270" s="84"/>
      <c r="M270" s="84"/>
      <c r="N270" s="84"/>
    </row>
    <row r="271" spans="1:14" ht="20.25" customHeight="1">
      <c r="A271" s="83" t="s">
        <v>28</v>
      </c>
      <c r="B271" s="84" t="s">
        <v>29</v>
      </c>
      <c r="C271" s="85">
        <v>25900</v>
      </c>
      <c r="D271" s="85">
        <v>22800</v>
      </c>
      <c r="E271" s="93">
        <f t="shared" si="12"/>
        <v>-3100</v>
      </c>
      <c r="F271" s="238">
        <f t="shared" si="13"/>
        <v>88.03088803088804</v>
      </c>
      <c r="G271" s="200"/>
      <c r="H271" s="239">
        <f t="shared" si="16"/>
        <v>22800</v>
      </c>
      <c r="I271" s="191">
        <f>D271</f>
        <v>22800</v>
      </c>
      <c r="J271" s="84"/>
      <c r="K271" s="84"/>
      <c r="L271" s="84"/>
      <c r="M271" s="84"/>
      <c r="N271" s="84"/>
    </row>
    <row r="272" spans="1:14" ht="20.25" customHeight="1">
      <c r="A272" s="83" t="s">
        <v>32</v>
      </c>
      <c r="B272" s="84" t="s">
        <v>33</v>
      </c>
      <c r="C272" s="85">
        <v>8100</v>
      </c>
      <c r="D272" s="85">
        <v>100</v>
      </c>
      <c r="E272" s="93">
        <f t="shared" si="12"/>
        <v>-8000</v>
      </c>
      <c r="F272" s="238">
        <f t="shared" si="13"/>
        <v>1.2345679012345678</v>
      </c>
      <c r="G272" s="200"/>
      <c r="H272" s="239">
        <f t="shared" si="16"/>
        <v>100</v>
      </c>
      <c r="I272" s="191">
        <f>D272</f>
        <v>100</v>
      </c>
      <c r="J272" s="84"/>
      <c r="K272" s="84"/>
      <c r="L272" s="84"/>
      <c r="M272" s="84"/>
      <c r="N272" s="84"/>
    </row>
    <row r="273" spans="1:14" ht="20.25" customHeight="1">
      <c r="A273" s="83" t="s">
        <v>34</v>
      </c>
      <c r="B273" s="84" t="s">
        <v>35</v>
      </c>
      <c r="C273" s="85">
        <v>35000</v>
      </c>
      <c r="D273" s="85">
        <v>35000</v>
      </c>
      <c r="E273" s="93">
        <f t="shared" si="12"/>
        <v>0</v>
      </c>
      <c r="F273" s="238">
        <f t="shared" si="13"/>
        <v>100</v>
      </c>
      <c r="G273" s="200"/>
      <c r="H273" s="239">
        <f t="shared" si="16"/>
        <v>35000</v>
      </c>
      <c r="I273" s="84"/>
      <c r="J273" s="191">
        <f aca="true" t="shared" si="17" ref="J273:J280">D273</f>
        <v>35000</v>
      </c>
      <c r="K273" s="84"/>
      <c r="L273" s="84"/>
      <c r="M273" s="84"/>
      <c r="N273" s="84"/>
    </row>
    <row r="274" spans="1:14" ht="20.25" customHeight="1">
      <c r="A274" s="83" t="s">
        <v>245</v>
      </c>
      <c r="B274" s="84" t="s">
        <v>294</v>
      </c>
      <c r="C274" s="85">
        <v>4000</v>
      </c>
      <c r="D274" s="85">
        <v>100</v>
      </c>
      <c r="E274" s="93">
        <f t="shared" si="12"/>
        <v>-3900</v>
      </c>
      <c r="F274" s="238">
        <f t="shared" si="13"/>
        <v>2.5</v>
      </c>
      <c r="G274" s="200"/>
      <c r="H274" s="239">
        <f t="shared" si="16"/>
        <v>100</v>
      </c>
      <c r="I274" s="84"/>
      <c r="J274" s="191">
        <f t="shared" si="17"/>
        <v>100</v>
      </c>
      <c r="K274" s="84"/>
      <c r="L274" s="84"/>
      <c r="M274" s="84"/>
      <c r="N274" s="84"/>
    </row>
    <row r="275" spans="1:14" ht="20.25" customHeight="1">
      <c r="A275" s="83" t="s">
        <v>68</v>
      </c>
      <c r="B275" s="84" t="s">
        <v>69</v>
      </c>
      <c r="C275" s="85">
        <v>16300</v>
      </c>
      <c r="D275" s="85">
        <v>16300</v>
      </c>
      <c r="E275" s="93">
        <f t="shared" si="12"/>
        <v>0</v>
      </c>
      <c r="F275" s="238">
        <f t="shared" si="13"/>
        <v>100</v>
      </c>
      <c r="G275" s="200"/>
      <c r="H275" s="239">
        <f t="shared" si="16"/>
        <v>16300</v>
      </c>
      <c r="I275" s="84"/>
      <c r="J275" s="191">
        <f t="shared" si="17"/>
        <v>16300</v>
      </c>
      <c r="K275" s="84"/>
      <c r="L275" s="84"/>
      <c r="M275" s="84"/>
      <c r="N275" s="84"/>
    </row>
    <row r="276" spans="1:14" ht="20.25" customHeight="1">
      <c r="A276" s="83" t="s">
        <v>44</v>
      </c>
      <c r="B276" s="84" t="s">
        <v>45</v>
      </c>
      <c r="C276" s="85">
        <v>2000</v>
      </c>
      <c r="D276" s="85">
        <v>0</v>
      </c>
      <c r="E276" s="93">
        <f t="shared" si="12"/>
        <v>-2000</v>
      </c>
      <c r="F276" s="238">
        <f t="shared" si="13"/>
        <v>0</v>
      </c>
      <c r="G276" s="200"/>
      <c r="H276" s="239">
        <f t="shared" si="16"/>
        <v>0</v>
      </c>
      <c r="I276" s="84"/>
      <c r="J276" s="191">
        <f t="shared" si="17"/>
        <v>0</v>
      </c>
      <c r="K276" s="84"/>
      <c r="L276" s="84"/>
      <c r="M276" s="84"/>
      <c r="N276" s="84"/>
    </row>
    <row r="277" spans="1:14" ht="20.25" customHeight="1">
      <c r="A277" s="83" t="s">
        <v>70</v>
      </c>
      <c r="B277" s="84" t="s">
        <v>71</v>
      </c>
      <c r="C277" s="85">
        <v>2600</v>
      </c>
      <c r="D277" s="85">
        <v>2600</v>
      </c>
      <c r="E277" s="93">
        <f t="shared" si="12"/>
        <v>0</v>
      </c>
      <c r="F277" s="238">
        <f t="shared" si="13"/>
        <v>100</v>
      </c>
      <c r="G277" s="200"/>
      <c r="H277" s="239">
        <f t="shared" si="16"/>
        <v>2600</v>
      </c>
      <c r="I277" s="84"/>
      <c r="J277" s="191">
        <f t="shared" si="17"/>
        <v>2600</v>
      </c>
      <c r="K277" s="84"/>
      <c r="L277" s="84"/>
      <c r="M277" s="84"/>
      <c r="N277" s="84"/>
    </row>
    <row r="278" spans="1:14" ht="20.25" customHeight="1">
      <c r="A278" s="83" t="s">
        <v>16</v>
      </c>
      <c r="B278" s="84" t="s">
        <v>17</v>
      </c>
      <c r="C278" s="85">
        <v>24000</v>
      </c>
      <c r="D278" s="85">
        <v>19000</v>
      </c>
      <c r="E278" s="93">
        <f aca="true" t="shared" si="18" ref="E278:E343">D278-C278</f>
        <v>-5000</v>
      </c>
      <c r="F278" s="238">
        <f aca="true" t="shared" si="19" ref="F278:F343">D278*100/C278</f>
        <v>79.16666666666667</v>
      </c>
      <c r="G278" s="200"/>
      <c r="H278" s="239">
        <f t="shared" si="16"/>
        <v>19000</v>
      </c>
      <c r="I278" s="84"/>
      <c r="J278" s="191">
        <f t="shared" si="17"/>
        <v>19000</v>
      </c>
      <c r="K278" s="84"/>
      <c r="L278" s="84"/>
      <c r="M278" s="84"/>
      <c r="N278" s="84"/>
    </row>
    <row r="279" spans="1:14" ht="20.25" customHeight="1">
      <c r="A279" s="83" t="s">
        <v>177</v>
      </c>
      <c r="B279" s="84" t="s">
        <v>178</v>
      </c>
      <c r="C279" s="85">
        <v>100</v>
      </c>
      <c r="D279" s="85">
        <v>0</v>
      </c>
      <c r="E279" s="93">
        <f t="shared" si="18"/>
        <v>-100</v>
      </c>
      <c r="F279" s="238">
        <f t="shared" si="19"/>
        <v>0</v>
      </c>
      <c r="G279" s="200"/>
      <c r="H279" s="239">
        <f t="shared" si="16"/>
        <v>0</v>
      </c>
      <c r="I279" s="84"/>
      <c r="J279" s="191">
        <f t="shared" si="17"/>
        <v>0</v>
      </c>
      <c r="K279" s="84"/>
      <c r="L279" s="84"/>
      <c r="M279" s="84"/>
      <c r="N279" s="84"/>
    </row>
    <row r="280" spans="1:14" ht="20.25" customHeight="1">
      <c r="A280" s="83" t="s">
        <v>214</v>
      </c>
      <c r="B280" s="84" t="s">
        <v>212</v>
      </c>
      <c r="C280" s="85">
        <v>4000</v>
      </c>
      <c r="D280" s="85">
        <v>3500</v>
      </c>
      <c r="E280" s="93">
        <f t="shared" si="18"/>
        <v>-500</v>
      </c>
      <c r="F280" s="238">
        <f t="shared" si="19"/>
        <v>87.5</v>
      </c>
      <c r="G280" s="200"/>
      <c r="H280" s="239">
        <f t="shared" si="16"/>
        <v>3500</v>
      </c>
      <c r="I280" s="84"/>
      <c r="J280" s="191">
        <f t="shared" si="17"/>
        <v>3500</v>
      </c>
      <c r="K280" s="84"/>
      <c r="L280" s="84"/>
      <c r="M280" s="84"/>
      <c r="N280" s="84"/>
    </row>
    <row r="281" spans="1:14" ht="20.25" customHeight="1">
      <c r="A281" s="83"/>
      <c r="B281" s="84" t="s">
        <v>215</v>
      </c>
      <c r="C281" s="85"/>
      <c r="D281" s="85"/>
      <c r="E281" s="93"/>
      <c r="F281" s="238"/>
      <c r="G281" s="200"/>
      <c r="H281" s="239">
        <f t="shared" si="16"/>
        <v>0</v>
      </c>
      <c r="I281" s="84"/>
      <c r="J281" s="84"/>
      <c r="K281" s="84"/>
      <c r="L281" s="84"/>
      <c r="M281" s="84"/>
      <c r="N281" s="84"/>
    </row>
    <row r="282" spans="1:14" ht="20.25" customHeight="1">
      <c r="A282" s="83" t="s">
        <v>36</v>
      </c>
      <c r="B282" s="84" t="s">
        <v>37</v>
      </c>
      <c r="C282" s="85">
        <v>9000</v>
      </c>
      <c r="D282" s="85">
        <v>9000</v>
      </c>
      <c r="E282" s="93">
        <f t="shared" si="18"/>
        <v>0</v>
      </c>
      <c r="F282" s="238">
        <f t="shared" si="19"/>
        <v>100</v>
      </c>
      <c r="G282" s="200"/>
      <c r="H282" s="239">
        <f t="shared" si="16"/>
        <v>9000</v>
      </c>
      <c r="I282" s="84"/>
      <c r="J282" s="191">
        <f>D282</f>
        <v>9000</v>
      </c>
      <c r="K282" s="84"/>
      <c r="L282" s="84"/>
      <c r="M282" s="84"/>
      <c r="N282" s="84"/>
    </row>
    <row r="283" spans="1:14" ht="20.25" customHeight="1">
      <c r="A283" s="83" t="s">
        <v>53</v>
      </c>
      <c r="B283" s="84" t="s">
        <v>54</v>
      </c>
      <c r="C283" s="85">
        <v>0</v>
      </c>
      <c r="D283" s="85">
        <v>500</v>
      </c>
      <c r="E283" s="93">
        <f t="shared" si="18"/>
        <v>500</v>
      </c>
      <c r="F283" s="238" t="e">
        <f t="shared" si="19"/>
        <v>#DIV/0!</v>
      </c>
      <c r="G283" s="200"/>
      <c r="H283" s="239">
        <f t="shared" si="16"/>
        <v>500</v>
      </c>
      <c r="I283" s="84"/>
      <c r="J283" s="191">
        <f>D283</f>
        <v>500</v>
      </c>
      <c r="K283" s="84"/>
      <c r="L283" s="84"/>
      <c r="M283" s="84"/>
      <c r="N283" s="84"/>
    </row>
    <row r="284" spans="1:14" ht="20.25" customHeight="1">
      <c r="A284" s="83" t="s">
        <v>38</v>
      </c>
      <c r="B284" s="84" t="s">
        <v>72</v>
      </c>
      <c r="C284" s="85">
        <v>56400</v>
      </c>
      <c r="D284" s="85">
        <v>53600</v>
      </c>
      <c r="E284" s="93">
        <f t="shared" si="18"/>
        <v>-2800</v>
      </c>
      <c r="F284" s="238">
        <f t="shared" si="19"/>
        <v>95.0354609929078</v>
      </c>
      <c r="G284" s="200"/>
      <c r="H284" s="239">
        <f t="shared" si="16"/>
        <v>53600</v>
      </c>
      <c r="I284" s="84"/>
      <c r="J284" s="191">
        <f>D284</f>
        <v>53600</v>
      </c>
      <c r="K284" s="84"/>
      <c r="L284" s="84"/>
      <c r="M284" s="84"/>
      <c r="N284" s="84"/>
    </row>
    <row r="285" spans="1:14" ht="20.25" customHeight="1">
      <c r="A285" s="83" t="s">
        <v>223</v>
      </c>
      <c r="B285" s="84" t="s">
        <v>224</v>
      </c>
      <c r="C285" s="85">
        <v>100</v>
      </c>
      <c r="D285" s="85">
        <v>100</v>
      </c>
      <c r="E285" s="93">
        <f t="shared" si="18"/>
        <v>0</v>
      </c>
      <c r="F285" s="238">
        <f t="shared" si="19"/>
        <v>100</v>
      </c>
      <c r="G285" s="200"/>
      <c r="H285" s="239">
        <f t="shared" si="16"/>
        <v>100</v>
      </c>
      <c r="I285" s="84"/>
      <c r="J285" s="191">
        <f>D285</f>
        <v>100</v>
      </c>
      <c r="K285" s="84"/>
      <c r="L285" s="84"/>
      <c r="M285" s="84"/>
      <c r="N285" s="84"/>
    </row>
    <row r="286" spans="1:14" ht="20.25" customHeight="1">
      <c r="A286" s="83"/>
      <c r="B286" s="84" t="s">
        <v>225</v>
      </c>
      <c r="C286" s="85"/>
      <c r="D286" s="85"/>
      <c r="E286" s="93"/>
      <c r="F286" s="238"/>
      <c r="G286" s="200"/>
      <c r="H286" s="239">
        <f t="shared" si="16"/>
        <v>0</v>
      </c>
      <c r="I286" s="84"/>
      <c r="J286" s="84"/>
      <c r="K286" s="84"/>
      <c r="L286" s="84"/>
      <c r="M286" s="84"/>
      <c r="N286" s="84"/>
    </row>
    <row r="287" spans="1:14" ht="20.25" customHeight="1">
      <c r="A287" s="83" t="s">
        <v>216</v>
      </c>
      <c r="B287" s="84" t="s">
        <v>218</v>
      </c>
      <c r="C287" s="85">
        <v>2500</v>
      </c>
      <c r="D287" s="85">
        <v>1500</v>
      </c>
      <c r="E287" s="93">
        <f t="shared" si="18"/>
        <v>-1000</v>
      </c>
      <c r="F287" s="238">
        <f t="shared" si="19"/>
        <v>60</v>
      </c>
      <c r="G287" s="200"/>
      <c r="H287" s="239">
        <f t="shared" si="16"/>
        <v>1500</v>
      </c>
      <c r="I287" s="84"/>
      <c r="J287" s="191">
        <f>D287</f>
        <v>1500</v>
      </c>
      <c r="K287" s="84"/>
      <c r="L287" s="84"/>
      <c r="M287" s="84"/>
      <c r="N287" s="84"/>
    </row>
    <row r="288" spans="1:14" ht="20.25" customHeight="1">
      <c r="A288" s="83"/>
      <c r="B288" s="84" t="s">
        <v>217</v>
      </c>
      <c r="C288" s="85"/>
      <c r="D288" s="85"/>
      <c r="E288" s="93"/>
      <c r="F288" s="238"/>
      <c r="G288" s="200"/>
      <c r="H288" s="239">
        <f t="shared" si="16"/>
        <v>0</v>
      </c>
      <c r="I288" s="84"/>
      <c r="J288" s="84"/>
      <c r="K288" s="84"/>
      <c r="L288" s="84"/>
      <c r="M288" s="84"/>
      <c r="N288" s="84"/>
    </row>
    <row r="289" spans="1:14" ht="20.25" customHeight="1">
      <c r="A289" s="83" t="s">
        <v>219</v>
      </c>
      <c r="B289" s="84" t="s">
        <v>220</v>
      </c>
      <c r="C289" s="85">
        <v>2500</v>
      </c>
      <c r="D289" s="85">
        <v>2500</v>
      </c>
      <c r="E289" s="93">
        <f t="shared" si="18"/>
        <v>0</v>
      </c>
      <c r="F289" s="238">
        <f t="shared" si="19"/>
        <v>100</v>
      </c>
      <c r="G289" s="200"/>
      <c r="H289" s="239">
        <f t="shared" si="16"/>
        <v>2500</v>
      </c>
      <c r="I289" s="84"/>
      <c r="J289" s="191">
        <f>D289</f>
        <v>2500</v>
      </c>
      <c r="K289" s="84"/>
      <c r="L289" s="84"/>
      <c r="M289" s="84"/>
      <c r="N289" s="84"/>
    </row>
    <row r="290" spans="1:14" ht="20.25" customHeight="1">
      <c r="A290" s="83"/>
      <c r="B290" s="84" t="s">
        <v>221</v>
      </c>
      <c r="C290" s="85"/>
      <c r="D290" s="85"/>
      <c r="E290" s="93"/>
      <c r="F290" s="238"/>
      <c r="G290" s="200"/>
      <c r="H290" s="239">
        <f t="shared" si="16"/>
        <v>0</v>
      </c>
      <c r="I290" s="84"/>
      <c r="J290" s="84"/>
      <c r="K290" s="84"/>
      <c r="L290" s="84"/>
      <c r="M290" s="84"/>
      <c r="N290" s="84"/>
    </row>
    <row r="291" spans="1:14" ht="60.75" customHeight="1">
      <c r="A291" s="83" t="s">
        <v>89</v>
      </c>
      <c r="B291" s="84" t="s">
        <v>297</v>
      </c>
      <c r="C291" s="85">
        <f>370000+100000</f>
        <v>470000</v>
      </c>
      <c r="D291" s="85">
        <v>300000</v>
      </c>
      <c r="E291" s="93">
        <f t="shared" si="18"/>
        <v>-170000</v>
      </c>
      <c r="F291" s="238">
        <f t="shared" si="19"/>
        <v>63.829787234042556</v>
      </c>
      <c r="G291" s="200" t="s">
        <v>446</v>
      </c>
      <c r="H291" s="239">
        <f t="shared" si="16"/>
        <v>0</v>
      </c>
      <c r="I291" s="191"/>
      <c r="J291" s="191"/>
      <c r="K291" s="191"/>
      <c r="L291" s="191"/>
      <c r="M291" s="191"/>
      <c r="N291" s="191">
        <f>D291</f>
        <v>300000</v>
      </c>
    </row>
    <row r="292" spans="1:14" ht="20.25" customHeight="1">
      <c r="A292" s="83" t="s">
        <v>73</v>
      </c>
      <c r="B292" s="84" t="s">
        <v>74</v>
      </c>
      <c r="C292" s="85"/>
      <c r="D292" s="94"/>
      <c r="E292" s="93">
        <f t="shared" si="18"/>
        <v>0</v>
      </c>
      <c r="F292" s="238" t="e">
        <f t="shared" si="19"/>
        <v>#DIV/0!</v>
      </c>
      <c r="G292" s="200"/>
      <c r="H292" s="239">
        <f t="shared" si="16"/>
        <v>0</v>
      </c>
      <c r="I292" s="84"/>
      <c r="J292" s="84"/>
      <c r="K292" s="84"/>
      <c r="L292" s="84"/>
      <c r="M292" s="84"/>
      <c r="N292" s="191">
        <f>D292</f>
        <v>0</v>
      </c>
    </row>
    <row r="293" spans="1:14" ht="20.25" customHeight="1">
      <c r="A293" s="83"/>
      <c r="B293" s="84" t="s">
        <v>75</v>
      </c>
      <c r="C293" s="85"/>
      <c r="D293" s="94"/>
      <c r="E293" s="93"/>
      <c r="F293" s="238"/>
      <c r="G293" s="200"/>
      <c r="H293" s="239">
        <f t="shared" si="16"/>
        <v>0</v>
      </c>
      <c r="I293" s="84"/>
      <c r="J293" s="84"/>
      <c r="K293" s="84"/>
      <c r="L293" s="84"/>
      <c r="M293" s="84"/>
      <c r="N293" s="84"/>
    </row>
    <row r="294" spans="1:14" ht="20.25" customHeight="1">
      <c r="A294" s="83"/>
      <c r="B294" s="84"/>
      <c r="C294" s="85"/>
      <c r="D294" s="94"/>
      <c r="E294" s="93"/>
      <c r="F294" s="238"/>
      <c r="G294" s="200"/>
      <c r="H294" s="239">
        <f t="shared" si="16"/>
        <v>0</v>
      </c>
      <c r="I294" s="84"/>
      <c r="J294" s="84"/>
      <c r="K294" s="84"/>
      <c r="L294" s="84"/>
      <c r="M294" s="84"/>
      <c r="N294" s="84"/>
    </row>
    <row r="295" spans="1:14" ht="20.25" customHeight="1">
      <c r="A295" s="95" t="s">
        <v>298</v>
      </c>
      <c r="B295" s="96" t="s">
        <v>299</v>
      </c>
      <c r="C295" s="97">
        <f>SUM(C296:C299)</f>
        <v>165000</v>
      </c>
      <c r="D295" s="98">
        <f>SUM(D296:D299)</f>
        <v>142200</v>
      </c>
      <c r="E295" s="93">
        <f t="shared" si="18"/>
        <v>-22800</v>
      </c>
      <c r="F295" s="238">
        <f t="shared" si="19"/>
        <v>86.18181818181819</v>
      </c>
      <c r="G295" s="200"/>
      <c r="H295" s="239">
        <f t="shared" si="16"/>
        <v>0</v>
      </c>
      <c r="I295" s="84"/>
      <c r="J295" s="84"/>
      <c r="K295" s="84"/>
      <c r="L295" s="84"/>
      <c r="M295" s="84"/>
      <c r="N295" s="84"/>
    </row>
    <row r="296" spans="1:14" ht="20.25" customHeight="1">
      <c r="A296" s="83" t="s">
        <v>26</v>
      </c>
      <c r="B296" s="84" t="s">
        <v>27</v>
      </c>
      <c r="C296" s="85">
        <v>3000</v>
      </c>
      <c r="D296" s="85">
        <v>0</v>
      </c>
      <c r="E296" s="93">
        <f t="shared" si="18"/>
        <v>-3000</v>
      </c>
      <c r="F296" s="238">
        <f t="shared" si="19"/>
        <v>0</v>
      </c>
      <c r="G296" s="200"/>
      <c r="H296" s="239">
        <f t="shared" si="16"/>
        <v>0</v>
      </c>
      <c r="I296" s="191">
        <f>D296</f>
        <v>0</v>
      </c>
      <c r="J296" s="84"/>
      <c r="K296" s="84"/>
      <c r="L296" s="84"/>
      <c r="M296" s="84"/>
      <c r="N296" s="84"/>
    </row>
    <row r="297" spans="1:14" ht="20.25" customHeight="1">
      <c r="A297" s="83" t="s">
        <v>28</v>
      </c>
      <c r="B297" s="84" t="s">
        <v>29</v>
      </c>
      <c r="C297" s="85">
        <v>100</v>
      </c>
      <c r="D297" s="85">
        <v>0</v>
      </c>
      <c r="E297" s="93">
        <f t="shared" si="18"/>
        <v>-100</v>
      </c>
      <c r="F297" s="238">
        <f t="shared" si="19"/>
        <v>0</v>
      </c>
      <c r="G297" s="200"/>
      <c r="H297" s="239">
        <f t="shared" si="16"/>
        <v>0</v>
      </c>
      <c r="I297" s="191">
        <f>D297</f>
        <v>0</v>
      </c>
      <c r="J297" s="84"/>
      <c r="K297" s="84"/>
      <c r="L297" s="84"/>
      <c r="M297" s="84"/>
      <c r="N297" s="84"/>
    </row>
    <row r="298" spans="1:14" ht="20.25" customHeight="1">
      <c r="A298" s="83" t="s">
        <v>32</v>
      </c>
      <c r="B298" s="84" t="s">
        <v>33</v>
      </c>
      <c r="C298" s="85">
        <v>18900</v>
      </c>
      <c r="D298" s="85">
        <v>0</v>
      </c>
      <c r="E298" s="93">
        <f t="shared" si="18"/>
        <v>-18900</v>
      </c>
      <c r="F298" s="238">
        <f t="shared" si="19"/>
        <v>0</v>
      </c>
      <c r="G298" s="200"/>
      <c r="H298" s="239">
        <f t="shared" si="16"/>
        <v>0</v>
      </c>
      <c r="I298" s="191">
        <f>D298</f>
        <v>0</v>
      </c>
      <c r="J298" s="84"/>
      <c r="K298" s="84"/>
      <c r="L298" s="84"/>
      <c r="M298" s="84"/>
      <c r="N298" s="84"/>
    </row>
    <row r="299" spans="1:14" ht="20.25" customHeight="1">
      <c r="A299" s="103" t="s">
        <v>16</v>
      </c>
      <c r="B299" s="104" t="s">
        <v>17</v>
      </c>
      <c r="C299" s="85">
        <v>143000</v>
      </c>
      <c r="D299" s="85">
        <v>142200</v>
      </c>
      <c r="E299" s="93">
        <f t="shared" si="18"/>
        <v>-800</v>
      </c>
      <c r="F299" s="238">
        <f t="shared" si="19"/>
        <v>99.44055944055944</v>
      </c>
      <c r="G299" s="200"/>
      <c r="H299" s="239">
        <f t="shared" si="16"/>
        <v>142200</v>
      </c>
      <c r="I299" s="84"/>
      <c r="J299" s="191">
        <f>D299</f>
        <v>142200</v>
      </c>
      <c r="K299" s="84"/>
      <c r="L299" s="84"/>
      <c r="M299" s="84"/>
      <c r="N299" s="84"/>
    </row>
    <row r="300" spans="1:14" ht="20.25" customHeight="1">
      <c r="A300" s="83"/>
      <c r="B300" s="84"/>
      <c r="C300" s="85"/>
      <c r="D300" s="94"/>
      <c r="E300" s="93"/>
      <c r="F300" s="238"/>
      <c r="G300" s="200"/>
      <c r="H300" s="239">
        <f t="shared" si="16"/>
        <v>0</v>
      </c>
      <c r="I300" s="84"/>
      <c r="J300" s="84"/>
      <c r="K300" s="84"/>
      <c r="L300" s="84"/>
      <c r="M300" s="84"/>
      <c r="N300" s="84"/>
    </row>
    <row r="301" spans="1:14" ht="20.25" customHeight="1">
      <c r="A301" s="95" t="s">
        <v>300</v>
      </c>
      <c r="B301" s="96" t="s">
        <v>301</v>
      </c>
      <c r="C301" s="97">
        <f>SUM(C302:C324)</f>
        <v>235300</v>
      </c>
      <c r="D301" s="98">
        <f>SUM(D302:D324)</f>
        <v>252401</v>
      </c>
      <c r="E301" s="93">
        <f t="shared" si="18"/>
        <v>17101</v>
      </c>
      <c r="F301" s="238">
        <f t="shared" si="19"/>
        <v>107.26774330641734</v>
      </c>
      <c r="G301" s="200"/>
      <c r="H301" s="239">
        <f t="shared" si="16"/>
        <v>0</v>
      </c>
      <c r="I301" s="84"/>
      <c r="J301" s="84"/>
      <c r="K301" s="84"/>
      <c r="L301" s="84"/>
      <c r="M301" s="84"/>
      <c r="N301" s="84"/>
    </row>
    <row r="302" spans="1:14" ht="20.25" customHeight="1">
      <c r="A302" s="103" t="s">
        <v>231</v>
      </c>
      <c r="B302" s="104" t="s">
        <v>293</v>
      </c>
      <c r="C302" s="85">
        <v>1000</v>
      </c>
      <c r="D302" s="85">
        <f>1000</f>
        <v>1000</v>
      </c>
      <c r="E302" s="93">
        <f t="shared" si="18"/>
        <v>0</v>
      </c>
      <c r="F302" s="238">
        <f t="shared" si="19"/>
        <v>100</v>
      </c>
      <c r="G302" s="200"/>
      <c r="H302" s="239">
        <f t="shared" si="16"/>
        <v>1000</v>
      </c>
      <c r="I302" s="84"/>
      <c r="J302" s="84"/>
      <c r="K302" s="84"/>
      <c r="L302" s="191">
        <f>D302</f>
        <v>1000</v>
      </c>
      <c r="M302" s="84"/>
      <c r="N302" s="84"/>
    </row>
    <row r="303" spans="1:14" ht="20.25" customHeight="1">
      <c r="A303" s="83" t="s">
        <v>22</v>
      </c>
      <c r="B303" s="84" t="s">
        <v>66</v>
      </c>
      <c r="C303" s="85">
        <f>142000+1400+2700</f>
        <v>146100</v>
      </c>
      <c r="D303" s="85">
        <f>160700+1600</f>
        <v>162300</v>
      </c>
      <c r="E303" s="93">
        <f t="shared" si="18"/>
        <v>16200</v>
      </c>
      <c r="F303" s="238">
        <f t="shared" si="19"/>
        <v>111.08829568788501</v>
      </c>
      <c r="G303" s="200"/>
      <c r="H303" s="239">
        <f t="shared" si="16"/>
        <v>162300</v>
      </c>
      <c r="I303" s="191">
        <f>D303</f>
        <v>162300</v>
      </c>
      <c r="J303" s="84"/>
      <c r="K303" s="84"/>
      <c r="L303" s="84"/>
      <c r="M303" s="84"/>
      <c r="N303" s="84"/>
    </row>
    <row r="304" spans="1:14" ht="20.25" customHeight="1">
      <c r="A304" s="83" t="s">
        <v>24</v>
      </c>
      <c r="B304" s="84" t="s">
        <v>67</v>
      </c>
      <c r="C304" s="85">
        <v>9200</v>
      </c>
      <c r="D304" s="85">
        <v>10000</v>
      </c>
      <c r="E304" s="93">
        <f t="shared" si="18"/>
        <v>800</v>
      </c>
      <c r="F304" s="238">
        <f t="shared" si="19"/>
        <v>108.69565217391305</v>
      </c>
      <c r="G304" s="200"/>
      <c r="H304" s="239">
        <f t="shared" si="16"/>
        <v>10000</v>
      </c>
      <c r="I304" s="191">
        <f>D304</f>
        <v>10000</v>
      </c>
      <c r="J304" s="84"/>
      <c r="K304" s="84"/>
      <c r="L304" s="84"/>
      <c r="M304" s="84"/>
      <c r="N304" s="84"/>
    </row>
    <row r="305" spans="1:14" ht="20.25" customHeight="1">
      <c r="A305" s="83" t="s">
        <v>26</v>
      </c>
      <c r="B305" s="84" t="s">
        <v>27</v>
      </c>
      <c r="C305" s="85">
        <v>26400</v>
      </c>
      <c r="D305" s="85">
        <v>27000</v>
      </c>
      <c r="E305" s="93">
        <f t="shared" si="18"/>
        <v>600</v>
      </c>
      <c r="F305" s="238">
        <f t="shared" si="19"/>
        <v>102.27272727272727</v>
      </c>
      <c r="G305" s="200"/>
      <c r="H305" s="239">
        <f t="shared" si="16"/>
        <v>27000</v>
      </c>
      <c r="I305" s="191">
        <f>D305</f>
        <v>27000</v>
      </c>
      <c r="J305" s="84"/>
      <c r="K305" s="84"/>
      <c r="L305" s="84"/>
      <c r="M305" s="84"/>
      <c r="N305" s="84"/>
    </row>
    <row r="306" spans="1:14" ht="20.25" customHeight="1">
      <c r="A306" s="83" t="s">
        <v>28</v>
      </c>
      <c r="B306" s="84" t="s">
        <v>29</v>
      </c>
      <c r="C306" s="85">
        <v>4100</v>
      </c>
      <c r="D306" s="85">
        <v>4300</v>
      </c>
      <c r="E306" s="93">
        <f t="shared" si="18"/>
        <v>200</v>
      </c>
      <c r="F306" s="238">
        <f t="shared" si="19"/>
        <v>104.8780487804878</v>
      </c>
      <c r="G306" s="200"/>
      <c r="H306" s="239">
        <f t="shared" si="16"/>
        <v>4300</v>
      </c>
      <c r="I306" s="191">
        <f>D306</f>
        <v>4300</v>
      </c>
      <c r="J306" s="84"/>
      <c r="K306" s="84"/>
      <c r="L306" s="84"/>
      <c r="M306" s="84"/>
      <c r="N306" s="84"/>
    </row>
    <row r="307" spans="1:14" ht="20.25" customHeight="1">
      <c r="A307" s="83" t="s">
        <v>32</v>
      </c>
      <c r="B307" s="84" t="s">
        <v>33</v>
      </c>
      <c r="C307" s="85">
        <v>3200</v>
      </c>
      <c r="D307" s="85">
        <v>5000</v>
      </c>
      <c r="E307" s="93">
        <f t="shared" si="18"/>
        <v>1800</v>
      </c>
      <c r="F307" s="238">
        <f t="shared" si="19"/>
        <v>156.25</v>
      </c>
      <c r="G307" s="200"/>
      <c r="H307" s="239">
        <f t="shared" si="16"/>
        <v>5000</v>
      </c>
      <c r="I307" s="191">
        <f>D307</f>
        <v>5000</v>
      </c>
      <c r="J307" s="84"/>
      <c r="K307" s="84"/>
      <c r="L307" s="84"/>
      <c r="M307" s="84"/>
      <c r="N307" s="84"/>
    </row>
    <row r="308" spans="1:14" ht="20.25" customHeight="1">
      <c r="A308" s="83" t="s">
        <v>34</v>
      </c>
      <c r="B308" s="84" t="s">
        <v>35</v>
      </c>
      <c r="C308" s="85">
        <v>8000</v>
      </c>
      <c r="D308" s="85">
        <v>8000</v>
      </c>
      <c r="E308" s="93">
        <f t="shared" si="18"/>
        <v>0</v>
      </c>
      <c r="F308" s="238">
        <f t="shared" si="19"/>
        <v>100</v>
      </c>
      <c r="G308" s="200"/>
      <c r="H308" s="239">
        <f t="shared" si="16"/>
        <v>8000</v>
      </c>
      <c r="I308" s="84"/>
      <c r="J308" s="191">
        <f aca="true" t="shared" si="20" ref="J308:J314">D308</f>
        <v>8000</v>
      </c>
      <c r="K308" s="84"/>
      <c r="L308" s="84"/>
      <c r="M308" s="84"/>
      <c r="N308" s="84"/>
    </row>
    <row r="309" spans="1:14" ht="20.25" customHeight="1">
      <c r="A309" s="83" t="s">
        <v>68</v>
      </c>
      <c r="B309" s="84" t="s">
        <v>69</v>
      </c>
      <c r="C309" s="85">
        <v>1500</v>
      </c>
      <c r="D309" s="85">
        <v>1500</v>
      </c>
      <c r="E309" s="93">
        <f t="shared" si="18"/>
        <v>0</v>
      </c>
      <c r="F309" s="238">
        <f t="shared" si="19"/>
        <v>100</v>
      </c>
      <c r="G309" s="200"/>
      <c r="H309" s="239">
        <f t="shared" si="16"/>
        <v>1500</v>
      </c>
      <c r="I309" s="84"/>
      <c r="J309" s="191">
        <f t="shared" si="20"/>
        <v>1500</v>
      </c>
      <c r="K309" s="84"/>
      <c r="L309" s="84"/>
      <c r="M309" s="84"/>
      <c r="N309" s="84"/>
    </row>
    <row r="310" spans="1:14" ht="20.25" customHeight="1">
      <c r="A310" s="83" t="s">
        <v>70</v>
      </c>
      <c r="B310" s="84" t="s">
        <v>71</v>
      </c>
      <c r="C310" s="85">
        <v>200</v>
      </c>
      <c r="D310" s="85">
        <v>200</v>
      </c>
      <c r="E310" s="93">
        <f t="shared" si="18"/>
        <v>0</v>
      </c>
      <c r="F310" s="238">
        <f t="shared" si="19"/>
        <v>100</v>
      </c>
      <c r="G310" s="200"/>
      <c r="H310" s="239">
        <f t="shared" si="16"/>
        <v>200</v>
      </c>
      <c r="I310" s="84"/>
      <c r="J310" s="191">
        <f t="shared" si="20"/>
        <v>200</v>
      </c>
      <c r="K310" s="84"/>
      <c r="L310" s="84"/>
      <c r="M310" s="84"/>
      <c r="N310" s="84"/>
    </row>
    <row r="311" spans="1:14" ht="20.25" customHeight="1">
      <c r="A311" s="83" t="s">
        <v>16</v>
      </c>
      <c r="B311" s="84" t="s">
        <v>17</v>
      </c>
      <c r="C311" s="85">
        <v>16000</v>
      </c>
      <c r="D311" s="85">
        <v>12000</v>
      </c>
      <c r="E311" s="93">
        <f t="shared" si="18"/>
        <v>-4000</v>
      </c>
      <c r="F311" s="238">
        <f t="shared" si="19"/>
        <v>75</v>
      </c>
      <c r="G311" s="200"/>
      <c r="H311" s="239">
        <f t="shared" si="16"/>
        <v>12000</v>
      </c>
      <c r="I311" s="84"/>
      <c r="J311" s="191">
        <f t="shared" si="20"/>
        <v>12000</v>
      </c>
      <c r="K311" s="84"/>
      <c r="L311" s="84"/>
      <c r="M311" s="84"/>
      <c r="N311" s="84"/>
    </row>
    <row r="312" spans="1:14" ht="20.25" customHeight="1">
      <c r="A312" s="83" t="s">
        <v>177</v>
      </c>
      <c r="B312" s="84" t="s">
        <v>178</v>
      </c>
      <c r="C312" s="85">
        <v>0</v>
      </c>
      <c r="D312" s="85">
        <v>0</v>
      </c>
      <c r="E312" s="93">
        <f t="shared" si="18"/>
        <v>0</v>
      </c>
      <c r="F312" s="238" t="e">
        <f t="shared" si="19"/>
        <v>#DIV/0!</v>
      </c>
      <c r="G312" s="200"/>
      <c r="H312" s="239">
        <f t="shared" si="16"/>
        <v>0</v>
      </c>
      <c r="I312" s="84"/>
      <c r="J312" s="191">
        <f t="shared" si="20"/>
        <v>0</v>
      </c>
      <c r="K312" s="84"/>
      <c r="L312" s="84"/>
      <c r="M312" s="84"/>
      <c r="N312" s="84"/>
    </row>
    <row r="313" spans="1:14" ht="20.25" customHeight="1">
      <c r="A313" s="83" t="s">
        <v>53</v>
      </c>
      <c r="B313" s="84" t="s">
        <v>54</v>
      </c>
      <c r="C313" s="85">
        <v>0</v>
      </c>
      <c r="D313" s="85">
        <v>100</v>
      </c>
      <c r="E313" s="93">
        <f t="shared" si="18"/>
        <v>100</v>
      </c>
      <c r="F313" s="238" t="e">
        <f t="shared" si="19"/>
        <v>#DIV/0!</v>
      </c>
      <c r="G313" s="200"/>
      <c r="H313" s="239">
        <f t="shared" si="16"/>
        <v>100</v>
      </c>
      <c r="I313" s="84"/>
      <c r="J313" s="191">
        <f t="shared" si="20"/>
        <v>100</v>
      </c>
      <c r="K313" s="84"/>
      <c r="L313" s="84"/>
      <c r="M313" s="84"/>
      <c r="N313" s="84"/>
    </row>
    <row r="314" spans="1:14" ht="20.25" customHeight="1">
      <c r="A314" s="83" t="s">
        <v>214</v>
      </c>
      <c r="B314" s="84" t="s">
        <v>212</v>
      </c>
      <c r="C314" s="85">
        <v>3500</v>
      </c>
      <c r="D314" s="85">
        <v>2000</v>
      </c>
      <c r="E314" s="93">
        <f t="shared" si="18"/>
        <v>-1500</v>
      </c>
      <c r="F314" s="238">
        <f t="shared" si="19"/>
        <v>57.142857142857146</v>
      </c>
      <c r="G314" s="200"/>
      <c r="H314" s="239">
        <f t="shared" si="16"/>
        <v>2000</v>
      </c>
      <c r="I314" s="84"/>
      <c r="J314" s="191">
        <f t="shared" si="20"/>
        <v>2000</v>
      </c>
      <c r="K314" s="84"/>
      <c r="L314" s="84"/>
      <c r="M314" s="84"/>
      <c r="N314" s="84"/>
    </row>
    <row r="315" spans="1:14" ht="20.25" customHeight="1">
      <c r="A315" s="83"/>
      <c r="B315" s="84" t="s">
        <v>215</v>
      </c>
      <c r="C315" s="85"/>
      <c r="D315" s="85"/>
      <c r="E315" s="93"/>
      <c r="F315" s="238"/>
      <c r="G315" s="200"/>
      <c r="H315" s="239">
        <f t="shared" si="16"/>
        <v>0</v>
      </c>
      <c r="I315" s="84"/>
      <c r="J315" s="84"/>
      <c r="K315" s="84"/>
      <c r="L315" s="84"/>
      <c r="M315" s="84"/>
      <c r="N315" s="84"/>
    </row>
    <row r="316" spans="1:14" ht="20.25" customHeight="1">
      <c r="A316" s="83" t="s">
        <v>36</v>
      </c>
      <c r="B316" s="84" t="s">
        <v>37</v>
      </c>
      <c r="C316" s="85">
        <v>4500</v>
      </c>
      <c r="D316" s="85">
        <v>6500</v>
      </c>
      <c r="E316" s="93">
        <f t="shared" si="18"/>
        <v>2000</v>
      </c>
      <c r="F316" s="238">
        <f t="shared" si="19"/>
        <v>144.44444444444446</v>
      </c>
      <c r="G316" s="200"/>
      <c r="H316" s="239">
        <f t="shared" si="16"/>
        <v>6500</v>
      </c>
      <c r="I316" s="84"/>
      <c r="J316" s="191">
        <f>D316</f>
        <v>6500</v>
      </c>
      <c r="K316" s="84"/>
      <c r="L316" s="84"/>
      <c r="M316" s="84"/>
      <c r="N316" s="84"/>
    </row>
    <row r="317" spans="1:14" ht="20.25" customHeight="1">
      <c r="A317" s="83" t="s">
        <v>38</v>
      </c>
      <c r="B317" s="84" t="s">
        <v>72</v>
      </c>
      <c r="C317" s="85">
        <v>3600</v>
      </c>
      <c r="D317" s="85">
        <v>4001</v>
      </c>
      <c r="E317" s="93">
        <f t="shared" si="18"/>
        <v>401</v>
      </c>
      <c r="F317" s="238">
        <f t="shared" si="19"/>
        <v>111.13888888888889</v>
      </c>
      <c r="G317" s="200"/>
      <c r="H317" s="239">
        <f t="shared" si="16"/>
        <v>4001</v>
      </c>
      <c r="I317" s="84"/>
      <c r="J317" s="191">
        <f>D317</f>
        <v>4001</v>
      </c>
      <c r="K317" s="84"/>
      <c r="L317" s="84"/>
      <c r="M317" s="84"/>
      <c r="N317" s="84"/>
    </row>
    <row r="318" spans="1:14" ht="20.25" customHeight="1">
      <c r="A318" s="83" t="s">
        <v>223</v>
      </c>
      <c r="B318" s="84" t="s">
        <v>224</v>
      </c>
      <c r="C318" s="85">
        <v>3000</v>
      </c>
      <c r="D318" s="85">
        <v>5000</v>
      </c>
      <c r="E318" s="93">
        <f t="shared" si="18"/>
        <v>2000</v>
      </c>
      <c r="F318" s="238">
        <f t="shared" si="19"/>
        <v>166.66666666666666</v>
      </c>
      <c r="G318" s="200"/>
      <c r="H318" s="239">
        <f t="shared" si="16"/>
        <v>5000</v>
      </c>
      <c r="I318" s="84"/>
      <c r="J318" s="191">
        <f>D318</f>
        <v>5000</v>
      </c>
      <c r="K318" s="84"/>
      <c r="L318" s="84"/>
      <c r="M318" s="84"/>
      <c r="N318" s="84"/>
    </row>
    <row r="319" spans="1:14" ht="20.25" customHeight="1">
      <c r="A319" s="83"/>
      <c r="B319" s="84" t="s">
        <v>225</v>
      </c>
      <c r="C319" s="85"/>
      <c r="D319" s="85"/>
      <c r="E319" s="93"/>
      <c r="F319" s="238"/>
      <c r="G319" s="200"/>
      <c r="H319" s="239">
        <f t="shared" si="16"/>
        <v>0</v>
      </c>
      <c r="I319" s="84"/>
      <c r="J319" s="84"/>
      <c r="K319" s="84"/>
      <c r="L319" s="84"/>
      <c r="M319" s="84"/>
      <c r="N319" s="84"/>
    </row>
    <row r="320" spans="1:14" ht="20.25" customHeight="1">
      <c r="A320" s="83" t="s">
        <v>216</v>
      </c>
      <c r="B320" s="84" t="s">
        <v>218</v>
      </c>
      <c r="C320" s="85">
        <v>3000</v>
      </c>
      <c r="D320" s="85">
        <v>1500</v>
      </c>
      <c r="E320" s="93">
        <f t="shared" si="18"/>
        <v>-1500</v>
      </c>
      <c r="F320" s="238">
        <f t="shared" si="19"/>
        <v>50</v>
      </c>
      <c r="G320" s="200"/>
      <c r="H320" s="239">
        <f t="shared" si="16"/>
        <v>1500</v>
      </c>
      <c r="I320" s="84"/>
      <c r="J320" s="191">
        <f>D320</f>
        <v>1500</v>
      </c>
      <c r="K320" s="84"/>
      <c r="L320" s="84"/>
      <c r="M320" s="84"/>
      <c r="N320" s="84"/>
    </row>
    <row r="321" spans="1:14" ht="20.25" customHeight="1">
      <c r="A321" s="83"/>
      <c r="B321" s="84" t="s">
        <v>217</v>
      </c>
      <c r="C321" s="85"/>
      <c r="D321" s="85"/>
      <c r="E321" s="93"/>
      <c r="F321" s="238"/>
      <c r="G321" s="200"/>
      <c r="H321" s="239">
        <f t="shared" si="16"/>
        <v>0</v>
      </c>
      <c r="I321" s="84"/>
      <c r="J321" s="84"/>
      <c r="K321" s="84"/>
      <c r="L321" s="84"/>
      <c r="M321" s="84"/>
      <c r="N321" s="84"/>
    </row>
    <row r="322" spans="1:14" ht="20.25" customHeight="1">
      <c r="A322" s="83" t="s">
        <v>219</v>
      </c>
      <c r="B322" s="84" t="s">
        <v>220</v>
      </c>
      <c r="C322" s="85">
        <v>2000</v>
      </c>
      <c r="D322" s="85">
        <v>2000</v>
      </c>
      <c r="E322" s="93">
        <f t="shared" si="18"/>
        <v>0</v>
      </c>
      <c r="F322" s="238">
        <f t="shared" si="19"/>
        <v>100</v>
      </c>
      <c r="G322" s="200"/>
      <c r="H322" s="239">
        <f t="shared" si="16"/>
        <v>2000</v>
      </c>
      <c r="I322" s="84"/>
      <c r="J322" s="191">
        <f>D322</f>
        <v>2000</v>
      </c>
      <c r="K322" s="84"/>
      <c r="L322" s="84"/>
      <c r="M322" s="84"/>
      <c r="N322" s="84"/>
    </row>
    <row r="323" spans="1:14" ht="20.25" customHeight="1">
      <c r="A323" s="83"/>
      <c r="B323" s="84" t="s">
        <v>221</v>
      </c>
      <c r="C323" s="85"/>
      <c r="D323" s="85"/>
      <c r="E323" s="93"/>
      <c r="F323" s="238"/>
      <c r="G323" s="200"/>
      <c r="H323" s="239">
        <f t="shared" si="16"/>
        <v>0</v>
      </c>
      <c r="I323" s="84"/>
      <c r="J323" s="84"/>
      <c r="K323" s="84"/>
      <c r="L323" s="84"/>
      <c r="M323" s="84"/>
      <c r="N323" s="84"/>
    </row>
    <row r="324" spans="1:14" ht="20.25" customHeight="1">
      <c r="A324" s="83" t="s">
        <v>73</v>
      </c>
      <c r="B324" s="84" t="s">
        <v>74</v>
      </c>
      <c r="C324" s="85"/>
      <c r="D324" s="85"/>
      <c r="E324" s="93">
        <f t="shared" si="18"/>
        <v>0</v>
      </c>
      <c r="F324" s="238" t="e">
        <f t="shared" si="19"/>
        <v>#DIV/0!</v>
      </c>
      <c r="G324" s="200"/>
      <c r="H324" s="239">
        <f t="shared" si="16"/>
        <v>0</v>
      </c>
      <c r="I324" s="84"/>
      <c r="J324" s="84"/>
      <c r="K324" s="84"/>
      <c r="L324" s="84"/>
      <c r="M324" s="84"/>
      <c r="N324" s="191">
        <f>D324</f>
        <v>0</v>
      </c>
    </row>
    <row r="325" spans="1:14" ht="20.25" customHeight="1">
      <c r="A325" s="83"/>
      <c r="B325" s="84" t="s">
        <v>75</v>
      </c>
      <c r="C325" s="85"/>
      <c r="D325" s="94"/>
      <c r="E325" s="93"/>
      <c r="F325" s="238"/>
      <c r="G325" s="200"/>
      <c r="H325" s="239">
        <f t="shared" si="16"/>
        <v>0</v>
      </c>
      <c r="I325" s="84"/>
      <c r="J325" s="84"/>
      <c r="K325" s="84"/>
      <c r="L325" s="84"/>
      <c r="M325" s="84"/>
      <c r="N325" s="84"/>
    </row>
    <row r="326" spans="1:14" ht="20.25" customHeight="1">
      <c r="A326" s="83"/>
      <c r="B326" s="84"/>
      <c r="C326" s="85"/>
      <c r="D326" s="94"/>
      <c r="E326" s="93"/>
      <c r="F326" s="238"/>
      <c r="G326" s="200"/>
      <c r="H326" s="239">
        <f t="shared" si="16"/>
        <v>0</v>
      </c>
      <c r="I326" s="84"/>
      <c r="J326" s="84"/>
      <c r="K326" s="84"/>
      <c r="L326" s="84"/>
      <c r="M326" s="84"/>
      <c r="N326" s="84"/>
    </row>
    <row r="327" spans="1:14" ht="20.25" customHeight="1">
      <c r="A327" s="95" t="s">
        <v>302</v>
      </c>
      <c r="B327" s="96" t="s">
        <v>303</v>
      </c>
      <c r="C327" s="97">
        <f>SUM(C328)</f>
        <v>0</v>
      </c>
      <c r="D327" s="98">
        <f>SUM(D328)</f>
        <v>0</v>
      </c>
      <c r="E327" s="93">
        <f t="shared" si="18"/>
        <v>0</v>
      </c>
      <c r="F327" s="238" t="e">
        <f t="shared" si="19"/>
        <v>#DIV/0!</v>
      </c>
      <c r="G327" s="200"/>
      <c r="H327" s="239">
        <f t="shared" si="16"/>
        <v>0</v>
      </c>
      <c r="I327" s="84"/>
      <c r="J327" s="84"/>
      <c r="K327" s="84"/>
      <c r="L327" s="84"/>
      <c r="M327" s="84"/>
      <c r="N327" s="84"/>
    </row>
    <row r="328" spans="1:14" ht="20.25" customHeight="1">
      <c r="A328" s="103" t="s">
        <v>32</v>
      </c>
      <c r="B328" s="104" t="s">
        <v>33</v>
      </c>
      <c r="C328" s="85">
        <v>0</v>
      </c>
      <c r="D328" s="94">
        <v>0</v>
      </c>
      <c r="E328" s="93">
        <f t="shared" si="18"/>
        <v>0</v>
      </c>
      <c r="F328" s="238" t="e">
        <f t="shared" si="19"/>
        <v>#DIV/0!</v>
      </c>
      <c r="G328" s="200"/>
      <c r="H328" s="239">
        <f t="shared" si="16"/>
        <v>0</v>
      </c>
      <c r="I328" s="191">
        <f>D328</f>
        <v>0</v>
      </c>
      <c r="J328" s="84"/>
      <c r="K328" s="84"/>
      <c r="L328" s="84"/>
      <c r="M328" s="84"/>
      <c r="N328" s="84"/>
    </row>
    <row r="329" spans="1:14" ht="20.25" customHeight="1">
      <c r="A329" s="83"/>
      <c r="B329" s="84"/>
      <c r="C329" s="85"/>
      <c r="D329" s="94"/>
      <c r="E329" s="93"/>
      <c r="F329" s="238"/>
      <c r="G329" s="200"/>
      <c r="H329" s="239">
        <f aca="true" t="shared" si="21" ref="H329:H392">SUM(I329:M329)</f>
        <v>0</v>
      </c>
      <c r="I329" s="84"/>
      <c r="J329" s="84"/>
      <c r="K329" s="84"/>
      <c r="L329" s="84"/>
      <c r="M329" s="84"/>
      <c r="N329" s="84"/>
    </row>
    <row r="330" spans="1:14" ht="20.25" customHeight="1">
      <c r="A330" s="95" t="s">
        <v>304</v>
      </c>
      <c r="B330" s="96" t="s">
        <v>305</v>
      </c>
      <c r="C330" s="97">
        <f>SUM(C331:C334)</f>
        <v>23600</v>
      </c>
      <c r="D330" s="98">
        <f>SUM(D331:D334)</f>
        <v>26200</v>
      </c>
      <c r="E330" s="93">
        <f t="shared" si="18"/>
        <v>2600</v>
      </c>
      <c r="F330" s="238">
        <f t="shared" si="19"/>
        <v>111.01694915254237</v>
      </c>
      <c r="G330" s="200"/>
      <c r="H330" s="239">
        <f t="shared" si="21"/>
        <v>0</v>
      </c>
      <c r="I330" s="84"/>
      <c r="J330" s="84"/>
      <c r="K330" s="84"/>
      <c r="L330" s="84"/>
      <c r="M330" s="84"/>
      <c r="N330" s="84"/>
    </row>
    <row r="331" spans="1:14" ht="20.25" customHeight="1">
      <c r="A331" s="103" t="s">
        <v>16</v>
      </c>
      <c r="B331" s="104" t="s">
        <v>17</v>
      </c>
      <c r="C331" s="85">
        <v>13000</v>
      </c>
      <c r="D331" s="85">
        <v>13000</v>
      </c>
      <c r="E331" s="93">
        <f t="shared" si="18"/>
        <v>0</v>
      </c>
      <c r="F331" s="238">
        <f t="shared" si="19"/>
        <v>100</v>
      </c>
      <c r="G331" s="200"/>
      <c r="H331" s="239">
        <f t="shared" si="21"/>
        <v>13000</v>
      </c>
      <c r="I331" s="84"/>
      <c r="J331" s="191">
        <f>D331</f>
        <v>13000</v>
      </c>
      <c r="K331" s="84"/>
      <c r="L331" s="84"/>
      <c r="M331" s="84"/>
      <c r="N331" s="84"/>
    </row>
    <row r="332" spans="1:14" ht="20.25" customHeight="1">
      <c r="A332" s="83" t="s">
        <v>36</v>
      </c>
      <c r="B332" s="84" t="s">
        <v>37</v>
      </c>
      <c r="C332" s="85">
        <v>600</v>
      </c>
      <c r="D332" s="85">
        <v>3200</v>
      </c>
      <c r="E332" s="93">
        <f t="shared" si="18"/>
        <v>2600</v>
      </c>
      <c r="F332" s="238">
        <f t="shared" si="19"/>
        <v>533.3333333333334</v>
      </c>
      <c r="G332" s="200"/>
      <c r="H332" s="239">
        <f t="shared" si="21"/>
        <v>3200</v>
      </c>
      <c r="I332" s="84"/>
      <c r="J332" s="191">
        <f>D332</f>
        <v>3200</v>
      </c>
      <c r="K332" s="84"/>
      <c r="L332" s="84"/>
      <c r="M332" s="84"/>
      <c r="N332" s="84"/>
    </row>
    <row r="333" spans="1:14" ht="20.25" customHeight="1">
      <c r="A333" s="83" t="s">
        <v>223</v>
      </c>
      <c r="B333" s="84" t="s">
        <v>224</v>
      </c>
      <c r="C333" s="85">
        <v>10000</v>
      </c>
      <c r="D333" s="85">
        <v>10000</v>
      </c>
      <c r="E333" s="93">
        <f t="shared" si="18"/>
        <v>0</v>
      </c>
      <c r="F333" s="238">
        <f t="shared" si="19"/>
        <v>100</v>
      </c>
      <c r="G333" s="200"/>
      <c r="H333" s="239">
        <f t="shared" si="21"/>
        <v>10000</v>
      </c>
      <c r="I333" s="84"/>
      <c r="J333" s="191">
        <f>D333</f>
        <v>10000</v>
      </c>
      <c r="K333" s="84"/>
      <c r="L333" s="84"/>
      <c r="M333" s="84"/>
      <c r="N333" s="84"/>
    </row>
    <row r="334" spans="1:14" ht="20.25" customHeight="1">
      <c r="A334" s="83"/>
      <c r="B334" s="84" t="s">
        <v>225</v>
      </c>
      <c r="C334" s="85"/>
      <c r="D334" s="94"/>
      <c r="E334" s="93"/>
      <c r="F334" s="238"/>
      <c r="G334" s="200"/>
      <c r="H334" s="239">
        <f t="shared" si="21"/>
        <v>0</v>
      </c>
      <c r="I334" s="84"/>
      <c r="J334" s="84"/>
      <c r="K334" s="84"/>
      <c r="L334" s="84"/>
      <c r="M334" s="84"/>
      <c r="N334" s="84"/>
    </row>
    <row r="335" spans="1:14" ht="20.25" customHeight="1">
      <c r="A335" s="106"/>
      <c r="B335" s="84"/>
      <c r="C335" s="85"/>
      <c r="D335" s="94"/>
      <c r="E335" s="93"/>
      <c r="F335" s="238"/>
      <c r="G335" s="200"/>
      <c r="H335" s="239">
        <f t="shared" si="21"/>
        <v>0</v>
      </c>
      <c r="I335" s="84"/>
      <c r="J335" s="84"/>
      <c r="K335" s="84"/>
      <c r="L335" s="84"/>
      <c r="M335" s="84"/>
      <c r="N335" s="84"/>
    </row>
    <row r="336" spans="1:14" ht="20.25" customHeight="1">
      <c r="A336" s="257" t="s">
        <v>170</v>
      </c>
      <c r="B336" s="96" t="s">
        <v>15</v>
      </c>
      <c r="C336" s="97">
        <f>SUM(C337:C338)</f>
        <v>27800</v>
      </c>
      <c r="D336" s="98">
        <f>SUM(D337:D338)</f>
        <v>27800</v>
      </c>
      <c r="E336" s="93">
        <f t="shared" si="18"/>
        <v>0</v>
      </c>
      <c r="F336" s="238">
        <f t="shared" si="19"/>
        <v>100</v>
      </c>
      <c r="G336" s="200"/>
      <c r="H336" s="239">
        <f t="shared" si="21"/>
        <v>0</v>
      </c>
      <c r="I336" s="84"/>
      <c r="J336" s="84"/>
      <c r="K336" s="84"/>
      <c r="L336" s="84"/>
      <c r="M336" s="84"/>
      <c r="N336" s="84"/>
    </row>
    <row r="337" spans="1:14" ht="20.25" customHeight="1">
      <c r="A337" s="258" t="s">
        <v>32</v>
      </c>
      <c r="B337" s="84" t="s">
        <v>33</v>
      </c>
      <c r="C337" s="109">
        <v>0</v>
      </c>
      <c r="D337" s="109">
        <v>0</v>
      </c>
      <c r="E337" s="93">
        <f t="shared" si="18"/>
        <v>0</v>
      </c>
      <c r="F337" s="238" t="e">
        <f t="shared" si="19"/>
        <v>#DIV/0!</v>
      </c>
      <c r="G337" s="200"/>
      <c r="H337" s="239">
        <f t="shared" si="21"/>
        <v>0</v>
      </c>
      <c r="I337" s="191">
        <f>D337</f>
        <v>0</v>
      </c>
      <c r="J337" s="84"/>
      <c r="K337" s="84"/>
      <c r="L337" s="84"/>
      <c r="M337" s="84"/>
      <c r="N337" s="84"/>
    </row>
    <row r="338" spans="1:14" ht="20.25" customHeight="1">
      <c r="A338" s="258" t="s">
        <v>38</v>
      </c>
      <c r="B338" s="84" t="s">
        <v>72</v>
      </c>
      <c r="C338" s="193">
        <v>27800</v>
      </c>
      <c r="D338" s="193">
        <v>27800</v>
      </c>
      <c r="E338" s="93">
        <f t="shared" si="18"/>
        <v>0</v>
      </c>
      <c r="F338" s="238">
        <f t="shared" si="19"/>
        <v>100</v>
      </c>
      <c r="G338" s="200"/>
      <c r="H338" s="239">
        <f t="shared" si="21"/>
        <v>27800</v>
      </c>
      <c r="I338" s="84"/>
      <c r="J338" s="191">
        <f>D338</f>
        <v>27800</v>
      </c>
      <c r="K338" s="84"/>
      <c r="L338" s="84"/>
      <c r="M338" s="84"/>
      <c r="N338" s="84"/>
    </row>
    <row r="339" spans="1:14" ht="20.25" customHeight="1">
      <c r="A339" s="95"/>
      <c r="B339" s="96"/>
      <c r="C339" s="97"/>
      <c r="D339" s="98"/>
      <c r="E339" s="93"/>
      <c r="F339" s="238"/>
      <c r="G339" s="200"/>
      <c r="H339" s="239">
        <f t="shared" si="21"/>
        <v>0</v>
      </c>
      <c r="I339" s="84"/>
      <c r="J339" s="84"/>
      <c r="K339" s="84"/>
      <c r="L339" s="84"/>
      <c r="M339" s="84"/>
      <c r="N339" s="84"/>
    </row>
    <row r="340" spans="1:14" ht="18">
      <c r="A340" s="83"/>
      <c r="B340" s="100"/>
      <c r="C340" s="101"/>
      <c r="D340" s="102"/>
      <c r="E340" s="93"/>
      <c r="F340" s="238"/>
      <c r="G340" s="200"/>
      <c r="H340" s="239">
        <f t="shared" si="21"/>
        <v>0</v>
      </c>
      <c r="I340" s="84"/>
      <c r="J340" s="84"/>
      <c r="K340" s="84"/>
      <c r="L340" s="84"/>
      <c r="M340" s="84"/>
      <c r="N340" s="84"/>
    </row>
    <row r="341" spans="1:14" ht="0.75" customHeight="1">
      <c r="A341" s="259" t="s">
        <v>170</v>
      </c>
      <c r="B341" s="96" t="s">
        <v>15</v>
      </c>
      <c r="C341" s="97">
        <f>SUM(C342:C343)</f>
        <v>0</v>
      </c>
      <c r="D341" s="97"/>
      <c r="E341" s="93">
        <f t="shared" si="18"/>
        <v>0</v>
      </c>
      <c r="F341" s="238" t="e">
        <f t="shared" si="19"/>
        <v>#DIV/0!</v>
      </c>
      <c r="G341" s="200"/>
      <c r="H341" s="239">
        <f t="shared" si="21"/>
        <v>0</v>
      </c>
      <c r="I341" s="84"/>
      <c r="J341" s="84"/>
      <c r="K341" s="84"/>
      <c r="L341" s="84"/>
      <c r="M341" s="84"/>
      <c r="N341" s="84"/>
    </row>
    <row r="342" spans="1:14" ht="18" hidden="1">
      <c r="A342" s="83" t="s">
        <v>62</v>
      </c>
      <c r="B342" s="84" t="s">
        <v>63</v>
      </c>
      <c r="C342" s="85"/>
      <c r="D342" s="85"/>
      <c r="E342" s="93">
        <f t="shared" si="18"/>
        <v>0</v>
      </c>
      <c r="F342" s="238" t="e">
        <f t="shared" si="19"/>
        <v>#DIV/0!</v>
      </c>
      <c r="G342" s="200"/>
      <c r="H342" s="239">
        <f t="shared" si="21"/>
        <v>0</v>
      </c>
      <c r="I342" s="84"/>
      <c r="J342" s="84"/>
      <c r="K342" s="84"/>
      <c r="L342" s="84"/>
      <c r="M342" s="84"/>
      <c r="N342" s="84"/>
    </row>
    <row r="343" spans="1:14" ht="18" hidden="1">
      <c r="A343" s="99" t="s">
        <v>32</v>
      </c>
      <c r="B343" s="100" t="s">
        <v>33</v>
      </c>
      <c r="C343" s="101"/>
      <c r="D343" s="101"/>
      <c r="E343" s="93">
        <f t="shared" si="18"/>
        <v>0</v>
      </c>
      <c r="F343" s="238" t="e">
        <f t="shared" si="19"/>
        <v>#DIV/0!</v>
      </c>
      <c r="G343" s="200"/>
      <c r="H343" s="239">
        <f t="shared" si="21"/>
        <v>0</v>
      </c>
      <c r="I343" s="84"/>
      <c r="J343" s="84"/>
      <c r="K343" s="84"/>
      <c r="L343" s="84"/>
      <c r="M343" s="84"/>
      <c r="N343" s="84"/>
    </row>
    <row r="344" spans="1:14" ht="18">
      <c r="A344" s="107" t="s">
        <v>99</v>
      </c>
      <c r="B344" s="96" t="s">
        <v>100</v>
      </c>
      <c r="C344" s="260">
        <f>SUM(C351+C361+C346)</f>
        <v>50000</v>
      </c>
      <c r="D344" s="109">
        <f>SUM(D351+D361+D346)</f>
        <v>50000</v>
      </c>
      <c r="E344" s="93">
        <f aca="true" t="shared" si="22" ref="E344:E406">D344-C344</f>
        <v>0</v>
      </c>
      <c r="F344" s="238">
        <f aca="true" t="shared" si="23" ref="F344:F406">D344*100/C344</f>
        <v>100</v>
      </c>
      <c r="G344" s="200"/>
      <c r="H344" s="239">
        <f t="shared" si="21"/>
        <v>0</v>
      </c>
      <c r="I344" s="84"/>
      <c r="J344" s="84"/>
      <c r="K344" s="84"/>
      <c r="L344" s="84"/>
      <c r="M344" s="84"/>
      <c r="N344" s="84"/>
    </row>
    <row r="345" spans="1:14" ht="18">
      <c r="A345" s="107"/>
      <c r="B345" s="96"/>
      <c r="C345" s="260"/>
      <c r="D345" s="109"/>
      <c r="E345" s="93"/>
      <c r="F345" s="238"/>
      <c r="G345" s="200"/>
      <c r="H345" s="239">
        <f t="shared" si="21"/>
        <v>0</v>
      </c>
      <c r="I345" s="84"/>
      <c r="J345" s="84"/>
      <c r="K345" s="84"/>
      <c r="L345" s="84"/>
      <c r="M345" s="84"/>
      <c r="N345" s="84"/>
    </row>
    <row r="346" spans="1:14" ht="18">
      <c r="A346" s="107" t="s">
        <v>181</v>
      </c>
      <c r="B346" s="96" t="s">
        <v>182</v>
      </c>
      <c r="C346" s="260">
        <f>SUM(C347:C349)</f>
        <v>3000</v>
      </c>
      <c r="D346" s="109">
        <f>SUM(D347:D349)</f>
        <v>3000</v>
      </c>
      <c r="E346" s="93">
        <f t="shared" si="22"/>
        <v>0</v>
      </c>
      <c r="F346" s="238">
        <f t="shared" si="23"/>
        <v>100</v>
      </c>
      <c r="G346" s="200"/>
      <c r="H346" s="239">
        <f t="shared" si="21"/>
        <v>0</v>
      </c>
      <c r="I346" s="84"/>
      <c r="J346" s="84"/>
      <c r="K346" s="84"/>
      <c r="L346" s="84"/>
      <c r="M346" s="84"/>
      <c r="N346" s="84"/>
    </row>
    <row r="347" spans="1:14" ht="18">
      <c r="A347" s="106" t="s">
        <v>32</v>
      </c>
      <c r="B347" s="84" t="s">
        <v>33</v>
      </c>
      <c r="C347" s="261">
        <v>1000</v>
      </c>
      <c r="D347" s="94">
        <v>1000</v>
      </c>
      <c r="E347" s="93">
        <f t="shared" si="22"/>
        <v>0</v>
      </c>
      <c r="F347" s="238">
        <f t="shared" si="23"/>
        <v>100</v>
      </c>
      <c r="G347" s="200"/>
      <c r="H347" s="239">
        <f t="shared" si="21"/>
        <v>1000</v>
      </c>
      <c r="I347" s="191">
        <f>D347</f>
        <v>1000</v>
      </c>
      <c r="J347" s="84"/>
      <c r="K347" s="84"/>
      <c r="L347" s="84"/>
      <c r="M347" s="84"/>
      <c r="N347" s="84"/>
    </row>
    <row r="348" spans="1:14" ht="18">
      <c r="A348" s="106" t="s">
        <v>34</v>
      </c>
      <c r="B348" s="84" t="s">
        <v>35</v>
      </c>
      <c r="C348" s="261">
        <v>1000</v>
      </c>
      <c r="D348" s="94">
        <v>1000</v>
      </c>
      <c r="E348" s="93">
        <f t="shared" si="22"/>
        <v>0</v>
      </c>
      <c r="F348" s="238">
        <f t="shared" si="23"/>
        <v>100</v>
      </c>
      <c r="G348" s="200"/>
      <c r="H348" s="239">
        <f t="shared" si="21"/>
        <v>1000</v>
      </c>
      <c r="I348" s="84"/>
      <c r="J348" s="191">
        <f>D348</f>
        <v>1000</v>
      </c>
      <c r="K348" s="84"/>
      <c r="L348" s="84"/>
      <c r="M348" s="84"/>
      <c r="N348" s="84"/>
    </row>
    <row r="349" spans="1:14" ht="18">
      <c r="A349" s="106" t="s">
        <v>16</v>
      </c>
      <c r="B349" s="84" t="s">
        <v>17</v>
      </c>
      <c r="C349" s="261">
        <v>1000</v>
      </c>
      <c r="D349" s="94">
        <v>1000</v>
      </c>
      <c r="E349" s="93">
        <f t="shared" si="22"/>
        <v>0</v>
      </c>
      <c r="F349" s="238">
        <f t="shared" si="23"/>
        <v>100</v>
      </c>
      <c r="G349" s="200"/>
      <c r="H349" s="239">
        <f t="shared" si="21"/>
        <v>1000</v>
      </c>
      <c r="I349" s="84"/>
      <c r="J349" s="191">
        <f>D349</f>
        <v>1000</v>
      </c>
      <c r="K349" s="84"/>
      <c r="L349" s="84"/>
      <c r="M349" s="84"/>
      <c r="N349" s="84"/>
    </row>
    <row r="350" spans="1:14" ht="18">
      <c r="A350" s="107"/>
      <c r="B350" s="96"/>
      <c r="C350" s="260"/>
      <c r="D350" s="98"/>
      <c r="E350" s="93"/>
      <c r="F350" s="238"/>
      <c r="G350" s="200"/>
      <c r="H350" s="239">
        <f t="shared" si="21"/>
        <v>0</v>
      </c>
      <c r="I350" s="84"/>
      <c r="J350" s="84"/>
      <c r="K350" s="84"/>
      <c r="L350" s="84"/>
      <c r="M350" s="84"/>
      <c r="N350" s="84"/>
    </row>
    <row r="351" spans="1:14" ht="18">
      <c r="A351" s="107" t="s">
        <v>101</v>
      </c>
      <c r="B351" s="96" t="s">
        <v>102</v>
      </c>
      <c r="C351" s="260">
        <f>SUM(C352:C359)</f>
        <v>37500</v>
      </c>
      <c r="D351" s="109">
        <f>SUM(D352:D359)</f>
        <v>37500</v>
      </c>
      <c r="E351" s="93">
        <f t="shared" si="22"/>
        <v>0</v>
      </c>
      <c r="F351" s="238">
        <f t="shared" si="23"/>
        <v>100</v>
      </c>
      <c r="G351" s="200"/>
      <c r="H351" s="239">
        <f t="shared" si="21"/>
        <v>0</v>
      </c>
      <c r="I351" s="84"/>
      <c r="J351" s="84"/>
      <c r="K351" s="84"/>
      <c r="L351" s="84"/>
      <c r="M351" s="84"/>
      <c r="N351" s="84"/>
    </row>
    <row r="352" spans="1:14" ht="18">
      <c r="A352" s="106"/>
      <c r="B352" s="84"/>
      <c r="C352" s="261"/>
      <c r="D352" s="94"/>
      <c r="E352" s="93"/>
      <c r="F352" s="238"/>
      <c r="G352" s="200"/>
      <c r="H352" s="239">
        <f t="shared" si="21"/>
        <v>0</v>
      </c>
      <c r="I352" s="84"/>
      <c r="J352" s="84"/>
      <c r="K352" s="84"/>
      <c r="L352" s="84"/>
      <c r="M352" s="84"/>
      <c r="N352" s="84"/>
    </row>
    <row r="353" spans="1:14" ht="18">
      <c r="A353" s="106" t="s">
        <v>32</v>
      </c>
      <c r="B353" s="84" t="s">
        <v>33</v>
      </c>
      <c r="C353" s="261">
        <v>4000</v>
      </c>
      <c r="D353" s="94">
        <v>4000</v>
      </c>
      <c r="E353" s="93">
        <f t="shared" si="22"/>
        <v>0</v>
      </c>
      <c r="F353" s="238">
        <f t="shared" si="23"/>
        <v>100</v>
      </c>
      <c r="G353" s="200"/>
      <c r="H353" s="239">
        <f t="shared" si="21"/>
        <v>4000</v>
      </c>
      <c r="I353" s="191">
        <f>D353</f>
        <v>4000</v>
      </c>
      <c r="J353" s="84"/>
      <c r="K353" s="84"/>
      <c r="L353" s="84"/>
      <c r="M353" s="84"/>
      <c r="N353" s="84"/>
    </row>
    <row r="354" spans="1:14" ht="18">
      <c r="A354" s="106" t="s">
        <v>34</v>
      </c>
      <c r="B354" s="84" t="s">
        <v>35</v>
      </c>
      <c r="C354" s="261">
        <v>10000</v>
      </c>
      <c r="D354" s="94">
        <v>10000</v>
      </c>
      <c r="E354" s="93">
        <f t="shared" si="22"/>
        <v>0</v>
      </c>
      <c r="F354" s="238">
        <f t="shared" si="23"/>
        <v>100</v>
      </c>
      <c r="G354" s="200"/>
      <c r="H354" s="239">
        <f t="shared" si="21"/>
        <v>10000</v>
      </c>
      <c r="I354" s="84"/>
      <c r="J354" s="191">
        <f>D354</f>
        <v>10000</v>
      </c>
      <c r="K354" s="84"/>
      <c r="L354" s="84"/>
      <c r="M354" s="84"/>
      <c r="N354" s="84"/>
    </row>
    <row r="355" spans="1:14" ht="18">
      <c r="A355" s="106" t="s">
        <v>44</v>
      </c>
      <c r="B355" s="84" t="s">
        <v>45</v>
      </c>
      <c r="C355" s="261">
        <v>1000</v>
      </c>
      <c r="D355" s="94">
        <v>1000</v>
      </c>
      <c r="E355" s="93">
        <f t="shared" si="22"/>
        <v>0</v>
      </c>
      <c r="F355" s="238">
        <f t="shared" si="23"/>
        <v>100</v>
      </c>
      <c r="G355" s="200"/>
      <c r="H355" s="239">
        <f t="shared" si="21"/>
        <v>1000</v>
      </c>
      <c r="I355" s="84"/>
      <c r="J355" s="191">
        <f>D355</f>
        <v>1000</v>
      </c>
      <c r="K355" s="84"/>
      <c r="L355" s="84"/>
      <c r="M355" s="84"/>
      <c r="N355" s="84"/>
    </row>
    <row r="356" spans="1:14" ht="18">
      <c r="A356" s="106" t="s">
        <v>16</v>
      </c>
      <c r="B356" s="84" t="s">
        <v>17</v>
      </c>
      <c r="C356" s="261">
        <f>24400-2500</f>
        <v>21900</v>
      </c>
      <c r="D356" s="94">
        <v>21900</v>
      </c>
      <c r="E356" s="93">
        <f t="shared" si="22"/>
        <v>0</v>
      </c>
      <c r="F356" s="238">
        <f t="shared" si="23"/>
        <v>100</v>
      </c>
      <c r="G356" s="200"/>
      <c r="H356" s="239">
        <f t="shared" si="21"/>
        <v>21900</v>
      </c>
      <c r="I356" s="84"/>
      <c r="J356" s="191">
        <f>D356</f>
        <v>21900</v>
      </c>
      <c r="K356" s="84"/>
      <c r="L356" s="84"/>
      <c r="M356" s="84"/>
      <c r="N356" s="84"/>
    </row>
    <row r="357" spans="1:14" ht="18">
      <c r="A357" s="106" t="s">
        <v>36</v>
      </c>
      <c r="B357" s="84" t="s">
        <v>37</v>
      </c>
      <c r="C357" s="261">
        <v>200</v>
      </c>
      <c r="D357" s="94">
        <v>200</v>
      </c>
      <c r="E357" s="93">
        <f t="shared" si="22"/>
        <v>0</v>
      </c>
      <c r="F357" s="238">
        <f t="shared" si="23"/>
        <v>100</v>
      </c>
      <c r="G357" s="200"/>
      <c r="H357" s="239">
        <f t="shared" si="21"/>
        <v>200</v>
      </c>
      <c r="I357" s="84"/>
      <c r="J357" s="191">
        <f>D357</f>
        <v>200</v>
      </c>
      <c r="K357" s="84"/>
      <c r="L357" s="84"/>
      <c r="M357" s="84"/>
      <c r="N357" s="84"/>
    </row>
    <row r="358" spans="1:14" ht="18">
      <c r="A358" s="106" t="s">
        <v>223</v>
      </c>
      <c r="B358" s="108" t="s">
        <v>224</v>
      </c>
      <c r="C358" s="85">
        <v>400</v>
      </c>
      <c r="D358" s="94">
        <v>400</v>
      </c>
      <c r="E358" s="93">
        <f t="shared" si="22"/>
        <v>0</v>
      </c>
      <c r="F358" s="238">
        <f t="shared" si="23"/>
        <v>100</v>
      </c>
      <c r="G358" s="200"/>
      <c r="H358" s="239">
        <f t="shared" si="21"/>
        <v>400</v>
      </c>
      <c r="I358" s="84"/>
      <c r="J358" s="191">
        <f>D358</f>
        <v>400</v>
      </c>
      <c r="K358" s="84"/>
      <c r="L358" s="84"/>
      <c r="M358" s="84"/>
      <c r="N358" s="84"/>
    </row>
    <row r="359" spans="1:14" ht="18">
      <c r="A359" s="106"/>
      <c r="B359" s="108" t="s">
        <v>225</v>
      </c>
      <c r="C359" s="85"/>
      <c r="D359" s="94"/>
      <c r="E359" s="93"/>
      <c r="F359" s="238"/>
      <c r="G359" s="200"/>
      <c r="H359" s="239">
        <f t="shared" si="21"/>
        <v>0</v>
      </c>
      <c r="I359" s="84"/>
      <c r="J359" s="84"/>
      <c r="K359" s="84"/>
      <c r="L359" s="84"/>
      <c r="M359" s="84"/>
      <c r="N359" s="84"/>
    </row>
    <row r="360" spans="1:14" ht="18">
      <c r="A360" s="106"/>
      <c r="B360" s="84"/>
      <c r="C360" s="261"/>
      <c r="D360" s="94"/>
      <c r="E360" s="93"/>
      <c r="F360" s="238"/>
      <c r="G360" s="200"/>
      <c r="H360" s="239">
        <f t="shared" si="21"/>
        <v>0</v>
      </c>
      <c r="I360" s="84"/>
      <c r="J360" s="84"/>
      <c r="K360" s="84"/>
      <c r="L360" s="84"/>
      <c r="M360" s="84"/>
      <c r="N360" s="84"/>
    </row>
    <row r="361" spans="1:14" ht="18">
      <c r="A361" s="107" t="s">
        <v>103</v>
      </c>
      <c r="B361" s="96" t="s">
        <v>15</v>
      </c>
      <c r="C361" s="260">
        <f>SUM(C362+C365)</f>
        <v>9500</v>
      </c>
      <c r="D361" s="109">
        <f>SUM(D362+D365)</f>
        <v>9500</v>
      </c>
      <c r="E361" s="93">
        <f t="shared" si="22"/>
        <v>0</v>
      </c>
      <c r="F361" s="238">
        <f t="shared" si="23"/>
        <v>100</v>
      </c>
      <c r="G361" s="200"/>
      <c r="H361" s="239">
        <f t="shared" si="21"/>
        <v>0</v>
      </c>
      <c r="I361" s="84"/>
      <c r="J361" s="84"/>
      <c r="K361" s="84"/>
      <c r="L361" s="84"/>
      <c r="M361" s="84"/>
      <c r="N361" s="84"/>
    </row>
    <row r="362" spans="1:14" ht="36">
      <c r="A362" s="106" t="s">
        <v>104</v>
      </c>
      <c r="B362" s="84" t="s">
        <v>105</v>
      </c>
      <c r="C362" s="261">
        <v>9500</v>
      </c>
      <c r="D362" s="94">
        <v>9500</v>
      </c>
      <c r="E362" s="93">
        <f t="shared" si="22"/>
        <v>0</v>
      </c>
      <c r="F362" s="238">
        <f t="shared" si="23"/>
        <v>100</v>
      </c>
      <c r="G362" s="200" t="s">
        <v>310</v>
      </c>
      <c r="H362" s="239">
        <f t="shared" si="21"/>
        <v>9500</v>
      </c>
      <c r="I362" s="84"/>
      <c r="J362" s="84"/>
      <c r="K362" s="191">
        <f>D362</f>
        <v>9500</v>
      </c>
      <c r="L362" s="84"/>
      <c r="M362" s="84"/>
      <c r="N362" s="84"/>
    </row>
    <row r="363" spans="1:14" ht="18">
      <c r="A363" s="106"/>
      <c r="B363" s="84" t="s">
        <v>106</v>
      </c>
      <c r="C363" s="261"/>
      <c r="D363" s="94"/>
      <c r="E363" s="93"/>
      <c r="F363" s="238"/>
      <c r="G363" s="200"/>
      <c r="H363" s="239">
        <f t="shared" si="21"/>
        <v>0</v>
      </c>
      <c r="I363" s="84"/>
      <c r="J363" s="84"/>
      <c r="K363" s="84"/>
      <c r="L363" s="84"/>
      <c r="M363" s="84"/>
      <c r="N363" s="84"/>
    </row>
    <row r="364" spans="1:14" ht="18">
      <c r="A364" s="106"/>
      <c r="B364" s="84" t="s">
        <v>107</v>
      </c>
      <c r="C364" s="261"/>
      <c r="D364" s="94"/>
      <c r="E364" s="93"/>
      <c r="F364" s="238"/>
      <c r="G364" s="200"/>
      <c r="H364" s="239">
        <f t="shared" si="21"/>
        <v>0</v>
      </c>
      <c r="I364" s="84"/>
      <c r="J364" s="84"/>
      <c r="K364" s="84"/>
      <c r="L364" s="84"/>
      <c r="M364" s="84"/>
      <c r="N364" s="84"/>
    </row>
    <row r="365" spans="1:14" ht="18" hidden="1">
      <c r="A365" s="106" t="s">
        <v>89</v>
      </c>
      <c r="B365" s="84" t="s">
        <v>98</v>
      </c>
      <c r="C365" s="261">
        <v>0</v>
      </c>
      <c r="D365" s="94"/>
      <c r="E365" s="93">
        <f t="shared" si="22"/>
        <v>0</v>
      </c>
      <c r="F365" s="238" t="e">
        <f t="shared" si="23"/>
        <v>#DIV/0!</v>
      </c>
      <c r="G365" s="200"/>
      <c r="H365" s="239">
        <f t="shared" si="21"/>
        <v>0</v>
      </c>
      <c r="I365" s="84"/>
      <c r="J365" s="84"/>
      <c r="K365" s="84"/>
      <c r="L365" s="84"/>
      <c r="M365" s="84"/>
      <c r="N365" s="84"/>
    </row>
    <row r="366" spans="1:14" ht="18">
      <c r="A366" s="254"/>
      <c r="B366" s="100"/>
      <c r="C366" s="262"/>
      <c r="D366" s="102"/>
      <c r="E366" s="93"/>
      <c r="F366" s="238"/>
      <c r="G366" s="200"/>
      <c r="H366" s="239">
        <f t="shared" si="21"/>
        <v>0</v>
      </c>
      <c r="I366" s="84"/>
      <c r="J366" s="84"/>
      <c r="K366" s="84"/>
      <c r="L366" s="84"/>
      <c r="M366" s="84"/>
      <c r="N366" s="84"/>
    </row>
    <row r="367" spans="1:14" ht="18">
      <c r="A367" s="89" t="s">
        <v>108</v>
      </c>
      <c r="B367" s="96" t="s">
        <v>109</v>
      </c>
      <c r="C367" s="91">
        <f>SUM(C369+C373+C405+C408+C413+C419+C449+C453+C416)</f>
        <v>3398040</v>
      </c>
      <c r="D367" s="91">
        <f>SUM(D369+D373+D405+D408+D413+D419+D449+D453+D416)</f>
        <v>3125910</v>
      </c>
      <c r="E367" s="93">
        <f t="shared" si="22"/>
        <v>-272130</v>
      </c>
      <c r="F367" s="238">
        <f t="shared" si="23"/>
        <v>91.99155984037857</v>
      </c>
      <c r="G367" s="200"/>
      <c r="H367" s="239">
        <f t="shared" si="21"/>
        <v>0</v>
      </c>
      <c r="I367" s="84"/>
      <c r="J367" s="84"/>
      <c r="K367" s="84"/>
      <c r="L367" s="84"/>
      <c r="M367" s="84"/>
      <c r="N367" s="84"/>
    </row>
    <row r="368" spans="1:14" ht="18">
      <c r="A368" s="83"/>
      <c r="B368" s="84"/>
      <c r="C368" s="85"/>
      <c r="D368" s="94"/>
      <c r="E368" s="93"/>
      <c r="F368" s="238"/>
      <c r="G368" s="200"/>
      <c r="H368" s="239">
        <f t="shared" si="21"/>
        <v>0</v>
      </c>
      <c r="I368" s="84"/>
      <c r="J368" s="84"/>
      <c r="K368" s="84"/>
      <c r="L368" s="84"/>
      <c r="M368" s="84"/>
      <c r="N368" s="84"/>
    </row>
    <row r="369" spans="1:14" ht="18">
      <c r="A369" s="95" t="s">
        <v>110</v>
      </c>
      <c r="B369" s="96" t="s">
        <v>111</v>
      </c>
      <c r="C369" s="97">
        <f>SUM(C370)</f>
        <v>91000</v>
      </c>
      <c r="D369" s="98">
        <f>SUM(D370)</f>
        <v>90000</v>
      </c>
      <c r="E369" s="93">
        <f t="shared" si="22"/>
        <v>-1000</v>
      </c>
      <c r="F369" s="238">
        <f t="shared" si="23"/>
        <v>98.9010989010989</v>
      </c>
      <c r="G369" s="200"/>
      <c r="H369" s="239">
        <f t="shared" si="21"/>
        <v>0</v>
      </c>
      <c r="I369" s="84"/>
      <c r="J369" s="84"/>
      <c r="K369" s="84"/>
      <c r="L369" s="84"/>
      <c r="M369" s="84"/>
      <c r="N369" s="84"/>
    </row>
    <row r="370" spans="1:18" ht="18">
      <c r="A370" s="83" t="s">
        <v>183</v>
      </c>
      <c r="B370" s="84" t="s">
        <v>184</v>
      </c>
      <c r="C370" s="85">
        <v>91000</v>
      </c>
      <c r="D370" s="85">
        <v>90000</v>
      </c>
      <c r="E370" s="93">
        <f t="shared" si="22"/>
        <v>-1000</v>
      </c>
      <c r="F370" s="238">
        <f t="shared" si="23"/>
        <v>98.9010989010989</v>
      </c>
      <c r="G370" s="200"/>
      <c r="H370" s="239">
        <f t="shared" si="21"/>
        <v>90000</v>
      </c>
      <c r="I370" s="84"/>
      <c r="J370" s="191">
        <f>D370</f>
        <v>90000</v>
      </c>
      <c r="K370" s="84"/>
      <c r="L370" s="84"/>
      <c r="M370" s="84"/>
      <c r="N370" s="84"/>
      <c r="P370" s="37">
        <f>D370</f>
        <v>90000</v>
      </c>
      <c r="Q370" s="37"/>
      <c r="R370" s="37"/>
    </row>
    <row r="371" spans="1:18" ht="18">
      <c r="A371" s="83"/>
      <c r="B371" s="84" t="s">
        <v>185</v>
      </c>
      <c r="C371" s="85"/>
      <c r="D371" s="94"/>
      <c r="E371" s="93"/>
      <c r="F371" s="238"/>
      <c r="G371" s="200"/>
      <c r="H371" s="239">
        <f t="shared" si="21"/>
        <v>0</v>
      </c>
      <c r="I371" s="84"/>
      <c r="J371" s="84"/>
      <c r="K371" s="84"/>
      <c r="L371" s="84"/>
      <c r="M371" s="84"/>
      <c r="N371" s="84"/>
      <c r="P371" s="37"/>
      <c r="Q371" s="37"/>
      <c r="R371" s="37"/>
    </row>
    <row r="372" spans="1:18" ht="18">
      <c r="A372" s="83"/>
      <c r="B372" s="84"/>
      <c r="C372" s="85"/>
      <c r="D372" s="94"/>
      <c r="E372" s="93"/>
      <c r="F372" s="238"/>
      <c r="G372" s="200"/>
      <c r="H372" s="239">
        <f t="shared" si="21"/>
        <v>0</v>
      </c>
      <c r="I372" s="84"/>
      <c r="J372" s="84"/>
      <c r="K372" s="84"/>
      <c r="L372" s="84"/>
      <c r="M372" s="84"/>
      <c r="N372" s="84"/>
      <c r="P372" s="37"/>
      <c r="Q372" s="37"/>
      <c r="R372" s="37"/>
    </row>
    <row r="373" spans="1:18" ht="18">
      <c r="A373" s="95" t="s">
        <v>112</v>
      </c>
      <c r="B373" s="96" t="s">
        <v>113</v>
      </c>
      <c r="C373" s="97">
        <f>SUM(C376:C403)</f>
        <v>2209100</v>
      </c>
      <c r="D373" s="98">
        <f>SUM(D376:D403)</f>
        <v>2211400</v>
      </c>
      <c r="E373" s="93">
        <f t="shared" si="22"/>
        <v>2300</v>
      </c>
      <c r="F373" s="238">
        <f t="shared" si="23"/>
        <v>100.1041147978815</v>
      </c>
      <c r="G373" s="200"/>
      <c r="H373" s="239">
        <f t="shared" si="21"/>
        <v>0</v>
      </c>
      <c r="I373" s="84"/>
      <c r="J373" s="84"/>
      <c r="K373" s="84"/>
      <c r="L373" s="84"/>
      <c r="M373" s="84"/>
      <c r="N373" s="84"/>
      <c r="P373" s="37"/>
      <c r="Q373" s="37"/>
      <c r="R373" s="37"/>
    </row>
    <row r="374" spans="1:18" ht="18">
      <c r="A374" s="83"/>
      <c r="B374" s="96" t="s">
        <v>114</v>
      </c>
      <c r="C374" s="85"/>
      <c r="D374" s="94"/>
      <c r="E374" s="93"/>
      <c r="F374" s="238"/>
      <c r="G374" s="200"/>
      <c r="H374" s="239">
        <f t="shared" si="21"/>
        <v>0</v>
      </c>
      <c r="I374" s="84"/>
      <c r="J374" s="84"/>
      <c r="K374" s="84"/>
      <c r="L374" s="84"/>
      <c r="M374" s="84"/>
      <c r="N374" s="84"/>
      <c r="P374" s="37"/>
      <c r="Q374" s="37"/>
      <c r="R374" s="37"/>
    </row>
    <row r="375" spans="1:18" ht="18">
      <c r="A375" s="83"/>
      <c r="B375" s="96" t="s">
        <v>115</v>
      </c>
      <c r="C375" s="85"/>
      <c r="D375" s="94"/>
      <c r="E375" s="93"/>
      <c r="F375" s="238"/>
      <c r="G375" s="200"/>
      <c r="H375" s="239">
        <f t="shared" si="21"/>
        <v>0</v>
      </c>
      <c r="I375" s="84"/>
      <c r="J375" s="84"/>
      <c r="K375" s="84"/>
      <c r="L375" s="84"/>
      <c r="M375" s="84"/>
      <c r="N375" s="84"/>
      <c r="P375" s="37"/>
      <c r="Q375" s="37"/>
      <c r="R375" s="37"/>
    </row>
    <row r="376" spans="1:19" ht="18">
      <c r="A376" s="83" t="s">
        <v>234</v>
      </c>
      <c r="B376" s="104" t="s">
        <v>235</v>
      </c>
      <c r="C376" s="105">
        <v>700</v>
      </c>
      <c r="D376" s="105">
        <v>700</v>
      </c>
      <c r="E376" s="93">
        <f t="shared" si="22"/>
        <v>0</v>
      </c>
      <c r="F376" s="238">
        <f t="shared" si="23"/>
        <v>100</v>
      </c>
      <c r="G376" s="200" t="s">
        <v>419</v>
      </c>
      <c r="H376" s="239">
        <f t="shared" si="21"/>
        <v>700</v>
      </c>
      <c r="I376" s="84"/>
      <c r="J376" s="191">
        <f>D376</f>
        <v>700</v>
      </c>
      <c r="K376" s="84"/>
      <c r="L376" s="84"/>
      <c r="M376" s="84"/>
      <c r="N376" s="84"/>
      <c r="P376" s="37"/>
      <c r="Q376" s="37"/>
      <c r="R376" s="37"/>
      <c r="S376" s="76">
        <f>D376</f>
        <v>700</v>
      </c>
    </row>
    <row r="377" spans="1:18" ht="18">
      <c r="A377" s="83"/>
      <c r="B377" s="104" t="s">
        <v>236</v>
      </c>
      <c r="C377" s="105"/>
      <c r="D377" s="105"/>
      <c r="E377" s="93"/>
      <c r="F377" s="238"/>
      <c r="G377" s="200"/>
      <c r="H377" s="239">
        <f t="shared" si="21"/>
        <v>0</v>
      </c>
      <c r="I377" s="84"/>
      <c r="J377" s="84"/>
      <c r="K377" s="84"/>
      <c r="L377" s="84"/>
      <c r="M377" s="84"/>
      <c r="N377" s="84"/>
      <c r="P377" s="37"/>
      <c r="Q377" s="37"/>
      <c r="R377" s="37"/>
    </row>
    <row r="378" spans="1:18" ht="18">
      <c r="A378" s="103" t="s">
        <v>231</v>
      </c>
      <c r="B378" s="104" t="s">
        <v>232</v>
      </c>
      <c r="C378" s="105">
        <v>100</v>
      </c>
      <c r="D378" s="105">
        <v>100</v>
      </c>
      <c r="E378" s="93">
        <f t="shared" si="22"/>
        <v>0</v>
      </c>
      <c r="F378" s="238">
        <f t="shared" si="23"/>
        <v>100</v>
      </c>
      <c r="G378" s="200" t="s">
        <v>421</v>
      </c>
      <c r="H378" s="239">
        <f t="shared" si="21"/>
        <v>100</v>
      </c>
      <c r="I378" s="84"/>
      <c r="J378" s="84"/>
      <c r="K378" s="84"/>
      <c r="L378" s="191">
        <f>D378</f>
        <v>100</v>
      </c>
      <c r="M378" s="84"/>
      <c r="N378" s="84"/>
      <c r="P378" s="37">
        <f>D378</f>
        <v>100</v>
      </c>
      <c r="Q378" s="37"/>
      <c r="R378" s="37"/>
    </row>
    <row r="379" spans="1:18" ht="18">
      <c r="A379" s="83" t="s">
        <v>116</v>
      </c>
      <c r="B379" s="84" t="s">
        <v>117</v>
      </c>
      <c r="C379" s="85">
        <v>2117477</v>
      </c>
      <c r="D379" s="85">
        <v>2114658</v>
      </c>
      <c r="E379" s="93">
        <f t="shared" si="22"/>
        <v>-2819</v>
      </c>
      <c r="F379" s="238">
        <f t="shared" si="23"/>
        <v>99.86686986446605</v>
      </c>
      <c r="G379" s="200" t="s">
        <v>423</v>
      </c>
      <c r="H379" s="239">
        <f t="shared" si="21"/>
        <v>2114658</v>
      </c>
      <c r="I379" s="84"/>
      <c r="J379" s="84"/>
      <c r="K379" s="84"/>
      <c r="L379" s="191">
        <f>D379</f>
        <v>2114658</v>
      </c>
      <c r="M379" s="84"/>
      <c r="N379" s="84"/>
      <c r="P379" s="37"/>
      <c r="Q379" s="37">
        <f>D379</f>
        <v>2114658</v>
      </c>
      <c r="R379" s="37"/>
    </row>
    <row r="380" spans="1:18" ht="18">
      <c r="A380" s="83" t="s">
        <v>22</v>
      </c>
      <c r="B380" s="84" t="s">
        <v>23</v>
      </c>
      <c r="C380" s="85">
        <v>53000</v>
      </c>
      <c r="D380" s="85">
        <f>48500+6000</f>
        <v>54500</v>
      </c>
      <c r="E380" s="93">
        <f t="shared" si="22"/>
        <v>1500</v>
      </c>
      <c r="F380" s="238">
        <f t="shared" si="23"/>
        <v>102.83018867924528</v>
      </c>
      <c r="G380" s="200" t="s">
        <v>424</v>
      </c>
      <c r="H380" s="239">
        <f t="shared" si="21"/>
        <v>54500</v>
      </c>
      <c r="I380" s="191">
        <f>D380</f>
        <v>54500</v>
      </c>
      <c r="J380" s="84"/>
      <c r="K380" s="84"/>
      <c r="L380" s="84"/>
      <c r="M380" s="84"/>
      <c r="N380" s="84"/>
      <c r="P380" s="37">
        <v>6000</v>
      </c>
      <c r="Q380" s="37">
        <v>48500</v>
      </c>
      <c r="R380" s="37"/>
    </row>
    <row r="381" spans="1:18" ht="18">
      <c r="A381" s="83" t="s">
        <v>24</v>
      </c>
      <c r="B381" s="84" t="s">
        <v>25</v>
      </c>
      <c r="C381" s="85">
        <v>3650</v>
      </c>
      <c r="D381" s="85">
        <v>4000</v>
      </c>
      <c r="E381" s="93">
        <f t="shared" si="22"/>
        <v>350</v>
      </c>
      <c r="F381" s="238">
        <f t="shared" si="23"/>
        <v>109.58904109589041</v>
      </c>
      <c r="G381" s="200" t="s">
        <v>425</v>
      </c>
      <c r="H381" s="239">
        <f t="shared" si="21"/>
        <v>4000</v>
      </c>
      <c r="I381" s="191">
        <f>D381</f>
        <v>4000</v>
      </c>
      <c r="J381" s="84"/>
      <c r="K381" s="84"/>
      <c r="L381" s="84"/>
      <c r="M381" s="84"/>
      <c r="N381" s="84"/>
      <c r="P381" s="37">
        <f>D381</f>
        <v>4000</v>
      </c>
      <c r="Q381" s="37"/>
      <c r="R381" s="37"/>
    </row>
    <row r="382" spans="1:18" ht="18">
      <c r="A382" s="83" t="s">
        <v>26</v>
      </c>
      <c r="B382" s="84" t="s">
        <v>27</v>
      </c>
      <c r="C382" s="85">
        <v>19850</v>
      </c>
      <c r="D382" s="85">
        <f>21000+2000</f>
        <v>23000</v>
      </c>
      <c r="E382" s="93">
        <f t="shared" si="22"/>
        <v>3150</v>
      </c>
      <c r="F382" s="238">
        <f t="shared" si="23"/>
        <v>115.8690176322418</v>
      </c>
      <c r="G382" s="200" t="s">
        <v>426</v>
      </c>
      <c r="H382" s="239">
        <f t="shared" si="21"/>
        <v>23000</v>
      </c>
      <c r="I382" s="191">
        <f>D382</f>
        <v>23000</v>
      </c>
      <c r="J382" s="84"/>
      <c r="K382" s="84"/>
      <c r="L382" s="84"/>
      <c r="M382" s="84"/>
      <c r="N382" s="84"/>
      <c r="P382" s="37">
        <v>2000</v>
      </c>
      <c r="Q382" s="37">
        <v>21000</v>
      </c>
      <c r="R382" s="37"/>
    </row>
    <row r="383" spans="1:18" ht="18">
      <c r="A383" s="83" t="s">
        <v>28</v>
      </c>
      <c r="B383" s="84" t="s">
        <v>29</v>
      </c>
      <c r="C383" s="85">
        <v>1450</v>
      </c>
      <c r="D383" s="85">
        <f>1800+500</f>
        <v>2300</v>
      </c>
      <c r="E383" s="93">
        <f t="shared" si="22"/>
        <v>850</v>
      </c>
      <c r="F383" s="238">
        <f t="shared" si="23"/>
        <v>158.6206896551724</v>
      </c>
      <c r="G383" s="200" t="s">
        <v>427</v>
      </c>
      <c r="H383" s="239">
        <f t="shared" si="21"/>
        <v>2300</v>
      </c>
      <c r="I383" s="191">
        <f>D383</f>
        <v>2300</v>
      </c>
      <c r="J383" s="84"/>
      <c r="K383" s="84"/>
      <c r="L383" s="84"/>
      <c r="M383" s="84"/>
      <c r="N383" s="84"/>
      <c r="P383" s="37">
        <v>500</v>
      </c>
      <c r="Q383" s="37">
        <v>1800</v>
      </c>
      <c r="R383" s="37"/>
    </row>
    <row r="384" spans="1:18" ht="18">
      <c r="A384" s="83" t="s">
        <v>32</v>
      </c>
      <c r="B384" s="84" t="s">
        <v>33</v>
      </c>
      <c r="C384" s="85">
        <v>600</v>
      </c>
      <c r="D384" s="85">
        <v>100</v>
      </c>
      <c r="E384" s="93">
        <f t="shared" si="22"/>
        <v>-500</v>
      </c>
      <c r="F384" s="238">
        <f t="shared" si="23"/>
        <v>16.666666666666668</v>
      </c>
      <c r="G384" s="200" t="s">
        <v>421</v>
      </c>
      <c r="H384" s="239">
        <f t="shared" si="21"/>
        <v>100</v>
      </c>
      <c r="I384" s="191">
        <f>D384</f>
        <v>100</v>
      </c>
      <c r="J384" s="84"/>
      <c r="K384" s="84"/>
      <c r="L384" s="84"/>
      <c r="M384" s="84"/>
      <c r="N384" s="84"/>
      <c r="P384" s="37">
        <f>D384</f>
        <v>100</v>
      </c>
      <c r="Q384" s="37"/>
      <c r="R384" s="37"/>
    </row>
    <row r="385" spans="1:18" ht="18">
      <c r="A385" s="83" t="s">
        <v>34</v>
      </c>
      <c r="B385" s="84" t="s">
        <v>35</v>
      </c>
      <c r="C385" s="85">
        <v>2100</v>
      </c>
      <c r="D385" s="85">
        <f>1000+2900</f>
        <v>3900</v>
      </c>
      <c r="E385" s="93">
        <f t="shared" si="22"/>
        <v>1800</v>
      </c>
      <c r="F385" s="238">
        <f t="shared" si="23"/>
        <v>185.71428571428572</v>
      </c>
      <c r="G385" s="200" t="s">
        <v>428</v>
      </c>
      <c r="H385" s="239">
        <f t="shared" si="21"/>
        <v>3900</v>
      </c>
      <c r="I385" s="84"/>
      <c r="J385" s="191">
        <f aca="true" t="shared" si="24" ref="J385:J390">D385</f>
        <v>3900</v>
      </c>
      <c r="K385" s="84"/>
      <c r="L385" s="84"/>
      <c r="M385" s="84"/>
      <c r="N385" s="84"/>
      <c r="P385" s="37">
        <v>2900</v>
      </c>
      <c r="Q385" s="37">
        <v>1000</v>
      </c>
      <c r="R385" s="37"/>
    </row>
    <row r="386" spans="1:18" ht="18">
      <c r="A386" s="83" t="s">
        <v>68</v>
      </c>
      <c r="B386" s="84" t="s">
        <v>69</v>
      </c>
      <c r="C386" s="85">
        <v>673</v>
      </c>
      <c r="D386" s="85">
        <v>500</v>
      </c>
      <c r="E386" s="93">
        <f t="shared" si="22"/>
        <v>-173</v>
      </c>
      <c r="F386" s="238">
        <f t="shared" si="23"/>
        <v>74.29420505200595</v>
      </c>
      <c r="G386" s="200" t="s">
        <v>429</v>
      </c>
      <c r="H386" s="239">
        <f t="shared" si="21"/>
        <v>500</v>
      </c>
      <c r="I386" s="84"/>
      <c r="J386" s="191">
        <f t="shared" si="24"/>
        <v>500</v>
      </c>
      <c r="K386" s="84"/>
      <c r="L386" s="84"/>
      <c r="M386" s="84"/>
      <c r="N386" s="84"/>
      <c r="P386" s="37"/>
      <c r="Q386" s="37">
        <f>D386</f>
        <v>500</v>
      </c>
      <c r="R386" s="37"/>
    </row>
    <row r="387" spans="1:18" ht="18">
      <c r="A387" s="83" t="s">
        <v>70</v>
      </c>
      <c r="B387" s="84" t="s">
        <v>71</v>
      </c>
      <c r="C387" s="85">
        <v>150</v>
      </c>
      <c r="D387" s="85">
        <v>150</v>
      </c>
      <c r="E387" s="93">
        <f t="shared" si="22"/>
        <v>0</v>
      </c>
      <c r="F387" s="238">
        <f t="shared" si="23"/>
        <v>100</v>
      </c>
      <c r="G387" s="200" t="s">
        <v>430</v>
      </c>
      <c r="H387" s="239">
        <f t="shared" si="21"/>
        <v>150</v>
      </c>
      <c r="I387" s="84"/>
      <c r="J387" s="191">
        <f t="shared" si="24"/>
        <v>150</v>
      </c>
      <c r="K387" s="84"/>
      <c r="L387" s="84"/>
      <c r="M387" s="84"/>
      <c r="N387" s="84"/>
      <c r="P387" s="37"/>
      <c r="Q387" s="37">
        <f>D387</f>
        <v>150</v>
      </c>
      <c r="R387" s="37"/>
    </row>
    <row r="388" spans="1:18" ht="18">
      <c r="A388" s="83" t="s">
        <v>16</v>
      </c>
      <c r="B388" s="84" t="s">
        <v>17</v>
      </c>
      <c r="C388" s="85">
        <v>5000</v>
      </c>
      <c r="D388" s="85">
        <f>3000</f>
        <v>3000</v>
      </c>
      <c r="E388" s="93">
        <f t="shared" si="22"/>
        <v>-2000</v>
      </c>
      <c r="F388" s="238">
        <f t="shared" si="23"/>
        <v>60</v>
      </c>
      <c r="G388" s="200" t="s">
        <v>431</v>
      </c>
      <c r="H388" s="239">
        <f t="shared" si="21"/>
        <v>3000</v>
      </c>
      <c r="I388" s="84"/>
      <c r="J388" s="191">
        <f t="shared" si="24"/>
        <v>3000</v>
      </c>
      <c r="K388" s="84"/>
      <c r="L388" s="84"/>
      <c r="M388" s="84"/>
      <c r="N388" s="84"/>
      <c r="P388" s="37">
        <f>D388</f>
        <v>3000</v>
      </c>
      <c r="Q388" s="37"/>
      <c r="R388" s="37"/>
    </row>
    <row r="389" spans="1:18" ht="18">
      <c r="A389" s="83" t="s">
        <v>177</v>
      </c>
      <c r="B389" s="84" t="s">
        <v>178</v>
      </c>
      <c r="C389" s="85">
        <v>150</v>
      </c>
      <c r="D389" s="85">
        <v>50</v>
      </c>
      <c r="E389" s="93">
        <f t="shared" si="22"/>
        <v>-100</v>
      </c>
      <c r="F389" s="238">
        <f t="shared" si="23"/>
        <v>33.333333333333336</v>
      </c>
      <c r="G389" s="200" t="s">
        <v>432</v>
      </c>
      <c r="H389" s="239">
        <f t="shared" si="21"/>
        <v>50</v>
      </c>
      <c r="I389" s="84"/>
      <c r="J389" s="191">
        <f t="shared" si="24"/>
        <v>50</v>
      </c>
      <c r="K389" s="84"/>
      <c r="L389" s="84"/>
      <c r="M389" s="84"/>
      <c r="N389" s="84"/>
      <c r="P389" s="37"/>
      <c r="Q389" s="37">
        <f>D389</f>
        <v>50</v>
      </c>
      <c r="R389" s="37"/>
    </row>
    <row r="390" spans="1:18" ht="18">
      <c r="A390" s="83" t="s">
        <v>214</v>
      </c>
      <c r="B390" s="84" t="s">
        <v>212</v>
      </c>
      <c r="C390" s="85">
        <v>300</v>
      </c>
      <c r="D390" s="85">
        <v>50</v>
      </c>
      <c r="E390" s="93">
        <f t="shared" si="22"/>
        <v>-250</v>
      </c>
      <c r="F390" s="238">
        <f t="shared" si="23"/>
        <v>16.666666666666668</v>
      </c>
      <c r="G390" s="200" t="s">
        <v>432</v>
      </c>
      <c r="H390" s="239">
        <f t="shared" si="21"/>
        <v>50</v>
      </c>
      <c r="I390" s="84"/>
      <c r="J390" s="191">
        <f t="shared" si="24"/>
        <v>50</v>
      </c>
      <c r="K390" s="84"/>
      <c r="L390" s="84"/>
      <c r="M390" s="84"/>
      <c r="N390" s="84"/>
      <c r="P390" s="37"/>
      <c r="Q390" s="37">
        <f>D390</f>
        <v>50</v>
      </c>
      <c r="R390" s="37"/>
    </row>
    <row r="391" spans="1:18" ht="18">
      <c r="A391" s="83"/>
      <c r="B391" s="84" t="s">
        <v>215</v>
      </c>
      <c r="C391" s="85"/>
      <c r="D391" s="85"/>
      <c r="E391" s="93"/>
      <c r="F391" s="238"/>
      <c r="G391" s="200"/>
      <c r="H391" s="239">
        <f t="shared" si="21"/>
        <v>0</v>
      </c>
      <c r="I391" s="84"/>
      <c r="J391" s="84"/>
      <c r="K391" s="84"/>
      <c r="L391" s="84"/>
      <c r="M391" s="84"/>
      <c r="N391" s="84"/>
      <c r="P391" s="37"/>
      <c r="Q391" s="37"/>
      <c r="R391" s="37"/>
    </row>
    <row r="392" spans="1:18" ht="18">
      <c r="A392" s="83" t="s">
        <v>36</v>
      </c>
      <c r="B392" s="84" t="s">
        <v>37</v>
      </c>
      <c r="C392" s="85">
        <v>200</v>
      </c>
      <c r="D392" s="85">
        <f>500</f>
        <v>500</v>
      </c>
      <c r="E392" s="93">
        <f t="shared" si="22"/>
        <v>300</v>
      </c>
      <c r="F392" s="238">
        <f t="shared" si="23"/>
        <v>250</v>
      </c>
      <c r="G392" s="200" t="s">
        <v>433</v>
      </c>
      <c r="H392" s="239">
        <f t="shared" si="21"/>
        <v>500</v>
      </c>
      <c r="I392" s="84"/>
      <c r="J392" s="191">
        <f>D392</f>
        <v>500</v>
      </c>
      <c r="K392" s="84"/>
      <c r="L392" s="84"/>
      <c r="M392" s="84"/>
      <c r="N392" s="84"/>
      <c r="P392" s="37">
        <f>D392</f>
        <v>500</v>
      </c>
      <c r="Q392" s="37"/>
      <c r="R392" s="37"/>
    </row>
    <row r="393" spans="1:18" ht="18">
      <c r="A393" s="83" t="s">
        <v>38</v>
      </c>
      <c r="B393" s="84" t="s">
        <v>72</v>
      </c>
      <c r="C393" s="85">
        <v>1900</v>
      </c>
      <c r="D393" s="85">
        <f>2100</f>
        <v>2100</v>
      </c>
      <c r="E393" s="93">
        <f t="shared" si="22"/>
        <v>200</v>
      </c>
      <c r="F393" s="238">
        <f t="shared" si="23"/>
        <v>110.52631578947368</v>
      </c>
      <c r="G393" s="200" t="s">
        <v>434</v>
      </c>
      <c r="H393" s="239">
        <f aca="true" t="shared" si="25" ref="H393:H456">SUM(I393:M393)</f>
        <v>2100</v>
      </c>
      <c r="I393" s="84"/>
      <c r="J393" s="191">
        <f>D393</f>
        <v>2100</v>
      </c>
      <c r="K393" s="84"/>
      <c r="L393" s="84"/>
      <c r="M393" s="84"/>
      <c r="N393" s="84"/>
      <c r="P393" s="37"/>
      <c r="Q393" s="37">
        <f>D393</f>
        <v>2100</v>
      </c>
      <c r="R393" s="37"/>
    </row>
    <row r="394" spans="1:18" ht="18">
      <c r="A394" s="83" t="s">
        <v>73</v>
      </c>
      <c r="B394" s="108" t="s">
        <v>74</v>
      </c>
      <c r="C394" s="85">
        <v>0</v>
      </c>
      <c r="D394" s="85">
        <v>0</v>
      </c>
      <c r="E394" s="93">
        <f t="shared" si="22"/>
        <v>0</v>
      </c>
      <c r="F394" s="238"/>
      <c r="G394" s="200"/>
      <c r="H394" s="239">
        <f t="shared" si="25"/>
        <v>0</v>
      </c>
      <c r="I394" s="84"/>
      <c r="J394" s="84"/>
      <c r="K394" s="84"/>
      <c r="L394" s="84"/>
      <c r="M394" s="84"/>
      <c r="N394" s="191">
        <f>D394</f>
        <v>0</v>
      </c>
      <c r="P394" s="37"/>
      <c r="Q394" s="37"/>
      <c r="R394" s="37"/>
    </row>
    <row r="395" spans="1:18" ht="18">
      <c r="A395" s="83"/>
      <c r="B395" s="108" t="s">
        <v>75</v>
      </c>
      <c r="C395" s="85"/>
      <c r="D395" s="85"/>
      <c r="E395" s="93"/>
      <c r="F395" s="238"/>
      <c r="G395" s="200"/>
      <c r="H395" s="239">
        <f t="shared" si="25"/>
        <v>0</v>
      </c>
      <c r="I395" s="84"/>
      <c r="J395" s="84"/>
      <c r="K395" s="84"/>
      <c r="L395" s="84"/>
      <c r="M395" s="84"/>
      <c r="N395" s="84"/>
      <c r="P395" s="37"/>
      <c r="Q395" s="37"/>
      <c r="R395" s="37"/>
    </row>
    <row r="396" spans="1:19" ht="18">
      <c r="A396" s="83" t="s">
        <v>237</v>
      </c>
      <c r="B396" s="108" t="s">
        <v>238</v>
      </c>
      <c r="C396" s="85">
        <v>200</v>
      </c>
      <c r="D396" s="85">
        <v>200</v>
      </c>
      <c r="E396" s="93">
        <f t="shared" si="22"/>
        <v>0</v>
      </c>
      <c r="F396" s="238">
        <f t="shared" si="23"/>
        <v>100</v>
      </c>
      <c r="G396" s="200" t="s">
        <v>436</v>
      </c>
      <c r="H396" s="239">
        <f t="shared" si="25"/>
        <v>200</v>
      </c>
      <c r="I396" s="84"/>
      <c r="J396" s="191">
        <f>D396</f>
        <v>200</v>
      </c>
      <c r="K396" s="84"/>
      <c r="L396" s="84"/>
      <c r="M396" s="84"/>
      <c r="N396" s="84"/>
      <c r="P396" s="37"/>
      <c r="Q396" s="37"/>
      <c r="R396" s="37"/>
      <c r="S396" s="76">
        <f>D396</f>
        <v>200</v>
      </c>
    </row>
    <row r="397" spans="1:18" ht="18">
      <c r="A397" s="83"/>
      <c r="B397" s="108" t="s">
        <v>236</v>
      </c>
      <c r="C397" s="85"/>
      <c r="D397" s="85"/>
      <c r="E397" s="93"/>
      <c r="F397" s="238"/>
      <c r="G397" s="200"/>
      <c r="H397" s="239">
        <f t="shared" si="25"/>
        <v>0</v>
      </c>
      <c r="I397" s="84"/>
      <c r="J397" s="84"/>
      <c r="K397" s="84"/>
      <c r="L397" s="84"/>
      <c r="M397" s="84"/>
      <c r="N397" s="84"/>
      <c r="P397" s="37"/>
      <c r="Q397" s="37"/>
      <c r="R397" s="37"/>
    </row>
    <row r="398" spans="1:18" ht="18">
      <c r="A398" s="83" t="s">
        <v>223</v>
      </c>
      <c r="B398" s="108" t="s">
        <v>228</v>
      </c>
      <c r="C398" s="85">
        <v>800</v>
      </c>
      <c r="D398" s="85">
        <f>992</f>
        <v>992</v>
      </c>
      <c r="E398" s="93">
        <f t="shared" si="22"/>
        <v>192</v>
      </c>
      <c r="F398" s="238">
        <f t="shared" si="23"/>
        <v>124</v>
      </c>
      <c r="G398" s="200" t="s">
        <v>435</v>
      </c>
      <c r="H398" s="239">
        <f t="shared" si="25"/>
        <v>992</v>
      </c>
      <c r="I398" s="84"/>
      <c r="J398" s="191">
        <f>D398</f>
        <v>992</v>
      </c>
      <c r="K398" s="84"/>
      <c r="L398" s="84"/>
      <c r="M398" s="84"/>
      <c r="N398" s="84"/>
      <c r="P398" s="37"/>
      <c r="Q398" s="37">
        <f>D398</f>
        <v>992</v>
      </c>
      <c r="R398" s="37"/>
    </row>
    <row r="399" spans="1:18" ht="18">
      <c r="A399" s="83"/>
      <c r="B399" s="108" t="s">
        <v>225</v>
      </c>
      <c r="C399" s="85"/>
      <c r="D399" s="85"/>
      <c r="E399" s="93"/>
      <c r="F399" s="238"/>
      <c r="G399" s="200"/>
      <c r="H399" s="239">
        <f t="shared" si="25"/>
        <v>0</v>
      </c>
      <c r="I399" s="84"/>
      <c r="J399" s="84"/>
      <c r="K399" s="84"/>
      <c r="L399" s="84"/>
      <c r="M399" s="84"/>
      <c r="N399" s="84"/>
      <c r="P399" s="37"/>
      <c r="Q399" s="37"/>
      <c r="R399" s="37"/>
    </row>
    <row r="400" spans="1:18" ht="18">
      <c r="A400" s="83" t="s">
        <v>216</v>
      </c>
      <c r="B400" s="108" t="s">
        <v>218</v>
      </c>
      <c r="C400" s="85">
        <v>300</v>
      </c>
      <c r="D400" s="85">
        <v>300</v>
      </c>
      <c r="E400" s="93">
        <f t="shared" si="22"/>
        <v>0</v>
      </c>
      <c r="F400" s="238">
        <f t="shared" si="23"/>
        <v>100</v>
      </c>
      <c r="G400" s="200" t="s">
        <v>437</v>
      </c>
      <c r="H400" s="239">
        <f t="shared" si="25"/>
        <v>300</v>
      </c>
      <c r="I400" s="84"/>
      <c r="J400" s="191">
        <f>D400</f>
        <v>300</v>
      </c>
      <c r="K400" s="84"/>
      <c r="L400" s="84"/>
      <c r="M400" s="84"/>
      <c r="N400" s="84"/>
      <c r="P400" s="37"/>
      <c r="Q400" s="37">
        <f>D400</f>
        <v>300</v>
      </c>
      <c r="R400" s="37"/>
    </row>
    <row r="401" spans="1:18" ht="18">
      <c r="A401" s="83"/>
      <c r="B401" s="108" t="s">
        <v>217</v>
      </c>
      <c r="C401" s="85"/>
      <c r="D401" s="85"/>
      <c r="E401" s="93"/>
      <c r="F401" s="238"/>
      <c r="G401" s="200"/>
      <c r="H401" s="239">
        <f t="shared" si="25"/>
        <v>0</v>
      </c>
      <c r="I401" s="84"/>
      <c r="J401" s="84"/>
      <c r="K401" s="84"/>
      <c r="L401" s="84"/>
      <c r="M401" s="84"/>
      <c r="N401" s="84"/>
      <c r="P401" s="37"/>
      <c r="Q401" s="37"/>
      <c r="R401" s="37"/>
    </row>
    <row r="402" spans="1:18" ht="18">
      <c r="A402" s="83" t="s">
        <v>219</v>
      </c>
      <c r="B402" s="108" t="s">
        <v>220</v>
      </c>
      <c r="C402" s="85">
        <v>500</v>
      </c>
      <c r="D402" s="85">
        <v>300</v>
      </c>
      <c r="E402" s="93">
        <f t="shared" si="22"/>
        <v>-200</v>
      </c>
      <c r="F402" s="238">
        <f t="shared" si="23"/>
        <v>60</v>
      </c>
      <c r="G402" s="200" t="s">
        <v>437</v>
      </c>
      <c r="H402" s="239">
        <f t="shared" si="25"/>
        <v>300</v>
      </c>
      <c r="I402" s="84"/>
      <c r="J402" s="191">
        <f>D402</f>
        <v>300</v>
      </c>
      <c r="K402" s="84"/>
      <c r="L402" s="84"/>
      <c r="M402" s="84"/>
      <c r="N402" s="84"/>
      <c r="P402" s="37"/>
      <c r="Q402" s="37">
        <f>Q400</f>
        <v>300</v>
      </c>
      <c r="R402" s="37"/>
    </row>
    <row r="403" spans="1:18" ht="18">
      <c r="A403" s="83"/>
      <c r="B403" s="108" t="s">
        <v>221</v>
      </c>
      <c r="C403" s="85"/>
      <c r="D403" s="94"/>
      <c r="E403" s="93"/>
      <c r="F403" s="238"/>
      <c r="G403" s="200"/>
      <c r="H403" s="239">
        <f t="shared" si="25"/>
        <v>0</v>
      </c>
      <c r="I403" s="84"/>
      <c r="J403" s="84"/>
      <c r="K403" s="84"/>
      <c r="L403" s="84"/>
      <c r="M403" s="84"/>
      <c r="N403" s="84"/>
      <c r="P403" s="37"/>
      <c r="Q403" s="37"/>
      <c r="R403" s="37"/>
    </row>
    <row r="404" spans="1:18" ht="18">
      <c r="A404" s="83"/>
      <c r="B404" s="108"/>
      <c r="C404" s="85"/>
      <c r="D404" s="94"/>
      <c r="E404" s="93"/>
      <c r="F404" s="238"/>
      <c r="G404" s="200"/>
      <c r="H404" s="239">
        <f t="shared" si="25"/>
        <v>0</v>
      </c>
      <c r="I404" s="84"/>
      <c r="J404" s="84"/>
      <c r="K404" s="84"/>
      <c r="L404" s="84"/>
      <c r="M404" s="84"/>
      <c r="N404" s="84"/>
      <c r="P404" s="37"/>
      <c r="Q404" s="37"/>
      <c r="R404" s="37"/>
    </row>
    <row r="405" spans="1:18" ht="18">
      <c r="A405" s="95" t="s">
        <v>118</v>
      </c>
      <c r="B405" s="96" t="s">
        <v>119</v>
      </c>
      <c r="C405" s="97">
        <f>SUM(C406)</f>
        <v>4240</v>
      </c>
      <c r="D405" s="98">
        <f>SUM(D406)</f>
        <v>3710</v>
      </c>
      <c r="E405" s="93">
        <f t="shared" si="22"/>
        <v>-530</v>
      </c>
      <c r="F405" s="238">
        <f t="shared" si="23"/>
        <v>87.5</v>
      </c>
      <c r="G405" s="200" t="s">
        <v>341</v>
      </c>
      <c r="H405" s="239">
        <f t="shared" si="25"/>
        <v>0</v>
      </c>
      <c r="I405" s="84"/>
      <c r="J405" s="84"/>
      <c r="K405" s="84"/>
      <c r="L405" s="84"/>
      <c r="M405" s="84"/>
      <c r="N405" s="84"/>
      <c r="P405" s="37"/>
      <c r="Q405" s="37"/>
      <c r="R405" s="37"/>
    </row>
    <row r="406" spans="1:18" ht="18">
      <c r="A406" s="83" t="s">
        <v>120</v>
      </c>
      <c r="B406" s="84" t="s">
        <v>119</v>
      </c>
      <c r="C406" s="85">
        <v>4240</v>
      </c>
      <c r="D406" s="94">
        <f>470+3240</f>
        <v>3710</v>
      </c>
      <c r="E406" s="93">
        <f t="shared" si="22"/>
        <v>-530</v>
      </c>
      <c r="F406" s="238">
        <f t="shared" si="23"/>
        <v>87.5</v>
      </c>
      <c r="G406" s="200" t="s">
        <v>340</v>
      </c>
      <c r="H406" s="239">
        <f t="shared" si="25"/>
        <v>3710</v>
      </c>
      <c r="I406" s="191">
        <f>D406</f>
        <v>3710</v>
      </c>
      <c r="J406" s="84"/>
      <c r="K406" s="84"/>
      <c r="L406" s="84"/>
      <c r="M406" s="84"/>
      <c r="N406" s="84"/>
      <c r="P406" s="37"/>
      <c r="Q406" s="37">
        <v>470</v>
      </c>
      <c r="R406" s="37">
        <v>3240</v>
      </c>
    </row>
    <row r="407" spans="1:18" ht="18">
      <c r="A407" s="83"/>
      <c r="B407" s="84"/>
      <c r="C407" s="85"/>
      <c r="D407" s="94"/>
      <c r="E407" s="93"/>
      <c r="F407" s="238"/>
      <c r="G407" s="200"/>
      <c r="H407" s="239">
        <f t="shared" si="25"/>
        <v>0</v>
      </c>
      <c r="I407" s="84"/>
      <c r="J407" s="84"/>
      <c r="K407" s="84"/>
      <c r="L407" s="84"/>
      <c r="M407" s="84"/>
      <c r="N407" s="84"/>
      <c r="P407" s="37"/>
      <c r="Q407" s="37"/>
      <c r="R407" s="37"/>
    </row>
    <row r="408" spans="1:18" ht="18">
      <c r="A408" s="95" t="s">
        <v>121</v>
      </c>
      <c r="B408" s="96" t="s">
        <v>122</v>
      </c>
      <c r="C408" s="97">
        <f>SUM(C410:C411)</f>
        <v>317700</v>
      </c>
      <c r="D408" s="98">
        <f>SUM(D410:D411)</f>
        <v>230600</v>
      </c>
      <c r="E408" s="93">
        <f aca="true" t="shared" si="26" ref="E408:E474">D408-C408</f>
        <v>-87100</v>
      </c>
      <c r="F408" s="238">
        <f aca="true" t="shared" si="27" ref="F408:F474">D408*100/C408</f>
        <v>72.584198929808</v>
      </c>
      <c r="G408" s="200"/>
      <c r="H408" s="239">
        <f t="shared" si="25"/>
        <v>0</v>
      </c>
      <c r="I408" s="84"/>
      <c r="J408" s="84"/>
      <c r="K408" s="84"/>
      <c r="L408" s="84"/>
      <c r="M408" s="84"/>
      <c r="N408" s="84"/>
      <c r="P408" s="37"/>
      <c r="Q408" s="37"/>
      <c r="R408" s="37"/>
    </row>
    <row r="409" spans="1:18" ht="18">
      <c r="A409" s="83"/>
      <c r="B409" s="96" t="s">
        <v>123</v>
      </c>
      <c r="C409" s="85"/>
      <c r="D409" s="94"/>
      <c r="E409" s="93"/>
      <c r="F409" s="238"/>
      <c r="G409" s="200" t="s">
        <v>413</v>
      </c>
      <c r="H409" s="239">
        <f t="shared" si="25"/>
        <v>0</v>
      </c>
      <c r="I409" s="84"/>
      <c r="J409" s="84"/>
      <c r="K409" s="84"/>
      <c r="L409" s="84"/>
      <c r="M409" s="84"/>
      <c r="N409" s="84"/>
      <c r="P409" s="37"/>
      <c r="Q409" s="37"/>
      <c r="R409" s="37"/>
    </row>
    <row r="410" spans="1:18" ht="18">
      <c r="A410" s="83" t="s">
        <v>116</v>
      </c>
      <c r="B410" s="84" t="s">
        <v>117</v>
      </c>
      <c r="C410" s="85">
        <v>317700</v>
      </c>
      <c r="D410" s="85">
        <f>10000+45000+175600</f>
        <v>230600</v>
      </c>
      <c r="E410" s="93">
        <f t="shared" si="26"/>
        <v>-87100</v>
      </c>
      <c r="F410" s="238">
        <f t="shared" si="27"/>
        <v>72.584198929808</v>
      </c>
      <c r="G410" s="200" t="s">
        <v>414</v>
      </c>
      <c r="H410" s="239">
        <f t="shared" si="25"/>
        <v>230600</v>
      </c>
      <c r="I410" s="84"/>
      <c r="J410" s="84"/>
      <c r="K410" s="84"/>
      <c r="L410" s="191">
        <f>D410</f>
        <v>230600</v>
      </c>
      <c r="M410" s="84"/>
      <c r="N410" s="84"/>
      <c r="P410" s="37">
        <f>10000+45000</f>
        <v>55000</v>
      </c>
      <c r="Q410" s="37"/>
      <c r="R410" s="37">
        <v>175600</v>
      </c>
    </row>
    <row r="411" spans="1:18" ht="18">
      <c r="A411" s="83"/>
      <c r="B411" s="84"/>
      <c r="C411" s="85"/>
      <c r="D411" s="94"/>
      <c r="E411" s="93"/>
      <c r="F411" s="238"/>
      <c r="G411" s="200" t="s">
        <v>415</v>
      </c>
      <c r="H411" s="239">
        <f t="shared" si="25"/>
        <v>0</v>
      </c>
      <c r="I411" s="84"/>
      <c r="J411" s="84"/>
      <c r="K411" s="84"/>
      <c r="L411" s="84"/>
      <c r="M411" s="84"/>
      <c r="N411" s="84"/>
      <c r="P411" s="37"/>
      <c r="Q411" s="37"/>
      <c r="R411" s="37"/>
    </row>
    <row r="412" spans="1:18" ht="18">
      <c r="A412" s="83"/>
      <c r="B412" s="84"/>
      <c r="C412" s="85"/>
      <c r="D412" s="94"/>
      <c r="E412" s="93"/>
      <c r="F412" s="238"/>
      <c r="G412" s="200"/>
      <c r="H412" s="239">
        <f t="shared" si="25"/>
        <v>0</v>
      </c>
      <c r="I412" s="84"/>
      <c r="J412" s="84"/>
      <c r="K412" s="84"/>
      <c r="L412" s="84"/>
      <c r="M412" s="84"/>
      <c r="N412" s="84"/>
      <c r="P412" s="37"/>
      <c r="Q412" s="37"/>
      <c r="R412" s="37"/>
    </row>
    <row r="413" spans="1:18" ht="18">
      <c r="A413" s="95" t="s">
        <v>124</v>
      </c>
      <c r="B413" s="96" t="s">
        <v>125</v>
      </c>
      <c r="C413" s="97">
        <f>SUM(C414)</f>
        <v>50000</v>
      </c>
      <c r="D413" s="98">
        <f>SUM(D414)</f>
        <v>30000</v>
      </c>
      <c r="E413" s="93">
        <f t="shared" si="26"/>
        <v>-20000</v>
      </c>
      <c r="F413" s="238">
        <f t="shared" si="27"/>
        <v>60</v>
      </c>
      <c r="G413" s="200"/>
      <c r="H413" s="239">
        <f t="shared" si="25"/>
        <v>0</v>
      </c>
      <c r="I413" s="84"/>
      <c r="J413" s="84"/>
      <c r="K413" s="84"/>
      <c r="L413" s="84"/>
      <c r="M413" s="84"/>
      <c r="N413" s="84"/>
      <c r="P413" s="37"/>
      <c r="Q413" s="37"/>
      <c r="R413" s="37"/>
    </row>
    <row r="414" spans="1:18" ht="18">
      <c r="A414" s="83" t="s">
        <v>116</v>
      </c>
      <c r="B414" s="84" t="s">
        <v>117</v>
      </c>
      <c r="C414" s="85">
        <v>50000</v>
      </c>
      <c r="D414" s="94">
        <v>30000</v>
      </c>
      <c r="E414" s="93">
        <f t="shared" si="26"/>
        <v>-20000</v>
      </c>
      <c r="F414" s="238">
        <f t="shared" si="27"/>
        <v>60</v>
      </c>
      <c r="G414" s="200"/>
      <c r="H414" s="239">
        <f t="shared" si="25"/>
        <v>30000</v>
      </c>
      <c r="I414" s="84"/>
      <c r="J414" s="84"/>
      <c r="K414" s="84"/>
      <c r="L414" s="191">
        <f>D414</f>
        <v>30000</v>
      </c>
      <c r="M414" s="84"/>
      <c r="N414" s="84"/>
      <c r="P414" s="37">
        <f>D414</f>
        <v>30000</v>
      </c>
      <c r="Q414" s="37"/>
      <c r="R414" s="37"/>
    </row>
    <row r="415" spans="1:18" ht="18">
      <c r="A415" s="83"/>
      <c r="B415" s="84"/>
      <c r="C415" s="85"/>
      <c r="D415" s="94"/>
      <c r="E415" s="93"/>
      <c r="F415" s="238"/>
      <c r="G415" s="200"/>
      <c r="H415" s="239">
        <f t="shared" si="25"/>
        <v>0</v>
      </c>
      <c r="I415" s="84"/>
      <c r="J415" s="84"/>
      <c r="K415" s="84"/>
      <c r="L415" s="84"/>
      <c r="M415" s="84"/>
      <c r="N415" s="84"/>
      <c r="P415" s="37"/>
      <c r="Q415" s="37"/>
      <c r="R415" s="37"/>
    </row>
    <row r="416" spans="1:18" ht="18">
      <c r="A416" s="95" t="s">
        <v>342</v>
      </c>
      <c r="B416" s="96" t="s">
        <v>343</v>
      </c>
      <c r="C416" s="97">
        <f>SUM(C417)</f>
        <v>0</v>
      </c>
      <c r="D416" s="98">
        <f>SUM(D417)</f>
        <v>36600</v>
      </c>
      <c r="E416" s="93">
        <f>D416-C416</f>
        <v>36600</v>
      </c>
      <c r="F416" s="238" t="e">
        <f>D416*100/C416</f>
        <v>#DIV/0!</v>
      </c>
      <c r="G416" s="200" t="s">
        <v>416</v>
      </c>
      <c r="H416" s="239">
        <f t="shared" si="25"/>
        <v>0</v>
      </c>
      <c r="I416" s="84"/>
      <c r="J416" s="84"/>
      <c r="K416" s="84"/>
      <c r="L416" s="84"/>
      <c r="M416" s="84"/>
      <c r="N416" s="84"/>
      <c r="P416" s="37"/>
      <c r="Q416" s="37"/>
      <c r="R416" s="37"/>
    </row>
    <row r="417" spans="1:18" ht="18">
      <c r="A417" s="83" t="s">
        <v>116</v>
      </c>
      <c r="B417" s="84" t="s">
        <v>117</v>
      </c>
      <c r="C417" s="85">
        <v>0</v>
      </c>
      <c r="D417" s="94">
        <f>31600+5000</f>
        <v>36600</v>
      </c>
      <c r="E417" s="93">
        <f>D417-C417</f>
        <v>36600</v>
      </c>
      <c r="F417" s="238" t="e">
        <f>D417*100/C417</f>
        <v>#DIV/0!</v>
      </c>
      <c r="G417" s="200" t="s">
        <v>417</v>
      </c>
      <c r="H417" s="239">
        <f t="shared" si="25"/>
        <v>36600</v>
      </c>
      <c r="I417" s="84"/>
      <c r="J417" s="84"/>
      <c r="K417" s="84"/>
      <c r="L417" s="191">
        <f>D417</f>
        <v>36600</v>
      </c>
      <c r="M417" s="84"/>
      <c r="N417" s="84"/>
      <c r="P417" s="37">
        <v>5000</v>
      </c>
      <c r="Q417" s="37">
        <v>31600</v>
      </c>
      <c r="R417" s="37"/>
    </row>
    <row r="418" spans="1:18" ht="18">
      <c r="A418" s="83"/>
      <c r="B418" s="84"/>
      <c r="C418" s="85"/>
      <c r="D418" s="94"/>
      <c r="E418" s="93"/>
      <c r="F418" s="238"/>
      <c r="G418" s="200"/>
      <c r="H418" s="239">
        <f t="shared" si="25"/>
        <v>0</v>
      </c>
      <c r="I418" s="84"/>
      <c r="J418" s="84"/>
      <c r="K418" s="84"/>
      <c r="L418" s="84"/>
      <c r="M418" s="84"/>
      <c r="N418" s="84"/>
      <c r="P418" s="37"/>
      <c r="Q418" s="37"/>
      <c r="R418" s="37"/>
    </row>
    <row r="419" spans="1:18" ht="18">
      <c r="A419" s="95" t="s">
        <v>126</v>
      </c>
      <c r="B419" s="96" t="s">
        <v>127</v>
      </c>
      <c r="C419" s="97">
        <f>SUM(C420:C447)</f>
        <v>300000</v>
      </c>
      <c r="D419" s="98">
        <f>SUM(D420:D447)</f>
        <v>360600</v>
      </c>
      <c r="E419" s="93">
        <f t="shared" si="26"/>
        <v>60600</v>
      </c>
      <c r="F419" s="238">
        <f t="shared" si="27"/>
        <v>120.2</v>
      </c>
      <c r="G419" s="200"/>
      <c r="H419" s="239">
        <f t="shared" si="25"/>
        <v>0</v>
      </c>
      <c r="I419" s="84"/>
      <c r="J419" s="84"/>
      <c r="K419" s="84"/>
      <c r="L419" s="84"/>
      <c r="M419" s="84"/>
      <c r="N419" s="84"/>
      <c r="P419" s="37"/>
      <c r="Q419" s="37"/>
      <c r="R419" s="37"/>
    </row>
    <row r="420" spans="1:18" ht="18">
      <c r="A420" s="103" t="s">
        <v>231</v>
      </c>
      <c r="B420" s="104" t="s">
        <v>232</v>
      </c>
      <c r="C420" s="105">
        <v>800</v>
      </c>
      <c r="D420" s="105">
        <v>1500</v>
      </c>
      <c r="E420" s="93">
        <f t="shared" si="26"/>
        <v>700</v>
      </c>
      <c r="F420" s="238">
        <f t="shared" si="27"/>
        <v>187.5</v>
      </c>
      <c r="G420" s="200"/>
      <c r="H420" s="239">
        <f t="shared" si="25"/>
        <v>1500</v>
      </c>
      <c r="I420" s="84"/>
      <c r="J420" s="84"/>
      <c r="K420" s="84"/>
      <c r="L420" s="191">
        <f>D420</f>
        <v>1500</v>
      </c>
      <c r="M420" s="84"/>
      <c r="N420" s="84"/>
      <c r="P420" s="37">
        <f>D420</f>
        <v>1500</v>
      </c>
      <c r="Q420" s="37"/>
      <c r="R420" s="37"/>
    </row>
    <row r="421" spans="1:18" ht="18">
      <c r="A421" s="83" t="s">
        <v>22</v>
      </c>
      <c r="B421" s="84" t="s">
        <v>23</v>
      </c>
      <c r="C421" s="85">
        <v>160000</v>
      </c>
      <c r="D421" s="85">
        <f>204100-64500+10000+64500</f>
        <v>214100</v>
      </c>
      <c r="E421" s="93">
        <f t="shared" si="26"/>
        <v>54100</v>
      </c>
      <c r="F421" s="238">
        <f t="shared" si="27"/>
        <v>133.8125</v>
      </c>
      <c r="G421" s="200" t="s">
        <v>422</v>
      </c>
      <c r="H421" s="239">
        <f t="shared" si="25"/>
        <v>214100</v>
      </c>
      <c r="I421" s="191">
        <f>D421</f>
        <v>214100</v>
      </c>
      <c r="J421" s="84"/>
      <c r="K421" s="84"/>
      <c r="L421" s="84"/>
      <c r="M421" s="84"/>
      <c r="N421" s="84"/>
      <c r="P421" s="37">
        <v>149600</v>
      </c>
      <c r="Q421" s="37"/>
      <c r="R421" s="37">
        <v>64500</v>
      </c>
    </row>
    <row r="422" spans="1:18" ht="18">
      <c r="A422" s="83" t="s">
        <v>24</v>
      </c>
      <c r="B422" s="84" t="s">
        <v>25</v>
      </c>
      <c r="C422" s="85">
        <v>14000</v>
      </c>
      <c r="D422" s="85">
        <v>16000</v>
      </c>
      <c r="E422" s="93">
        <f t="shared" si="26"/>
        <v>2000</v>
      </c>
      <c r="F422" s="238">
        <f t="shared" si="27"/>
        <v>114.28571428571429</v>
      </c>
      <c r="G422" s="200"/>
      <c r="H422" s="239">
        <f t="shared" si="25"/>
        <v>16000</v>
      </c>
      <c r="I422" s="191">
        <f>D422</f>
        <v>16000</v>
      </c>
      <c r="J422" s="84"/>
      <c r="K422" s="84"/>
      <c r="L422" s="84"/>
      <c r="M422" s="84"/>
      <c r="N422" s="84"/>
      <c r="P422" s="37">
        <f aca="true" t="shared" si="28" ref="P422:P447">D422</f>
        <v>16000</v>
      </c>
      <c r="Q422" s="37"/>
      <c r="R422" s="37"/>
    </row>
    <row r="423" spans="1:18" ht="18">
      <c r="A423" s="83" t="s">
        <v>26</v>
      </c>
      <c r="B423" s="84" t="s">
        <v>27</v>
      </c>
      <c r="C423" s="85">
        <v>28000</v>
      </c>
      <c r="D423" s="85">
        <v>35000</v>
      </c>
      <c r="E423" s="93">
        <f t="shared" si="26"/>
        <v>7000</v>
      </c>
      <c r="F423" s="238">
        <f t="shared" si="27"/>
        <v>125</v>
      </c>
      <c r="G423" s="200"/>
      <c r="H423" s="239">
        <f t="shared" si="25"/>
        <v>35000</v>
      </c>
      <c r="I423" s="191">
        <f>D423</f>
        <v>35000</v>
      </c>
      <c r="J423" s="84"/>
      <c r="K423" s="84"/>
      <c r="L423" s="84"/>
      <c r="M423" s="84"/>
      <c r="N423" s="84"/>
      <c r="P423" s="37">
        <f t="shared" si="28"/>
        <v>35000</v>
      </c>
      <c r="Q423" s="37"/>
      <c r="R423" s="37"/>
    </row>
    <row r="424" spans="1:18" ht="18">
      <c r="A424" s="83" t="s">
        <v>28</v>
      </c>
      <c r="B424" s="84" t="s">
        <v>29</v>
      </c>
      <c r="C424" s="85">
        <v>4000</v>
      </c>
      <c r="D424" s="85">
        <v>5200</v>
      </c>
      <c r="E424" s="93">
        <f t="shared" si="26"/>
        <v>1200</v>
      </c>
      <c r="F424" s="238">
        <f t="shared" si="27"/>
        <v>130</v>
      </c>
      <c r="G424" s="200"/>
      <c r="H424" s="239">
        <f t="shared" si="25"/>
        <v>5200</v>
      </c>
      <c r="I424" s="191">
        <f>D424</f>
        <v>5200</v>
      </c>
      <c r="J424" s="84"/>
      <c r="K424" s="84"/>
      <c r="L424" s="84"/>
      <c r="M424" s="84"/>
      <c r="N424" s="84"/>
      <c r="P424" s="37">
        <f t="shared" si="28"/>
        <v>5200</v>
      </c>
      <c r="Q424" s="37"/>
      <c r="R424" s="37"/>
    </row>
    <row r="425" spans="1:18" ht="18">
      <c r="A425" s="83" t="s">
        <v>32</v>
      </c>
      <c r="B425" s="84" t="s">
        <v>33</v>
      </c>
      <c r="C425" s="85">
        <v>1800</v>
      </c>
      <c r="D425" s="85">
        <v>5000</v>
      </c>
      <c r="E425" s="93">
        <f t="shared" si="26"/>
        <v>3200</v>
      </c>
      <c r="F425" s="238">
        <f t="shared" si="27"/>
        <v>277.77777777777777</v>
      </c>
      <c r="G425" s="200"/>
      <c r="H425" s="239">
        <f t="shared" si="25"/>
        <v>5000</v>
      </c>
      <c r="I425" s="191">
        <f>D425</f>
        <v>5000</v>
      </c>
      <c r="J425" s="84"/>
      <c r="K425" s="84"/>
      <c r="L425" s="84"/>
      <c r="M425" s="84"/>
      <c r="N425" s="84"/>
      <c r="P425" s="37">
        <f t="shared" si="28"/>
        <v>5000</v>
      </c>
      <c r="Q425" s="37"/>
      <c r="R425" s="37"/>
    </row>
    <row r="426" spans="1:18" ht="18">
      <c r="A426" s="83" t="s">
        <v>34</v>
      </c>
      <c r="B426" s="84" t="s">
        <v>35</v>
      </c>
      <c r="C426" s="85">
        <v>15000</v>
      </c>
      <c r="D426" s="85">
        <v>10000</v>
      </c>
      <c r="E426" s="93">
        <f t="shared" si="26"/>
        <v>-5000</v>
      </c>
      <c r="F426" s="238">
        <f t="shared" si="27"/>
        <v>66.66666666666667</v>
      </c>
      <c r="G426" s="200"/>
      <c r="H426" s="239">
        <f t="shared" si="25"/>
        <v>10000</v>
      </c>
      <c r="I426" s="84"/>
      <c r="J426" s="191">
        <f aca="true" t="shared" si="29" ref="J426:J432">D426</f>
        <v>10000</v>
      </c>
      <c r="K426" s="84"/>
      <c r="L426" s="84"/>
      <c r="M426" s="84"/>
      <c r="N426" s="84"/>
      <c r="P426" s="37">
        <f t="shared" si="28"/>
        <v>10000</v>
      </c>
      <c r="Q426" s="37"/>
      <c r="R426" s="37"/>
    </row>
    <row r="427" spans="1:18" ht="18">
      <c r="A427" s="83" t="s">
        <v>68</v>
      </c>
      <c r="B427" s="84" t="s">
        <v>69</v>
      </c>
      <c r="C427" s="85">
        <v>15000</v>
      </c>
      <c r="D427" s="85">
        <v>18000</v>
      </c>
      <c r="E427" s="93">
        <f t="shared" si="26"/>
        <v>3000</v>
      </c>
      <c r="F427" s="238">
        <f t="shared" si="27"/>
        <v>120</v>
      </c>
      <c r="G427" s="200"/>
      <c r="H427" s="239">
        <f t="shared" si="25"/>
        <v>18000</v>
      </c>
      <c r="I427" s="84"/>
      <c r="J427" s="191">
        <f t="shared" si="29"/>
        <v>18000</v>
      </c>
      <c r="K427" s="84"/>
      <c r="L427" s="84"/>
      <c r="M427" s="84"/>
      <c r="N427" s="84"/>
      <c r="P427" s="37">
        <f t="shared" si="28"/>
        <v>18000</v>
      </c>
      <c r="Q427" s="37"/>
      <c r="R427" s="37"/>
    </row>
    <row r="428" spans="1:18" ht="18">
      <c r="A428" s="83" t="s">
        <v>44</v>
      </c>
      <c r="B428" s="84" t="s">
        <v>45</v>
      </c>
      <c r="C428" s="85">
        <v>5000</v>
      </c>
      <c r="D428" s="85">
        <v>5000</v>
      </c>
      <c r="E428" s="93">
        <f t="shared" si="26"/>
        <v>0</v>
      </c>
      <c r="F428" s="238">
        <f t="shared" si="27"/>
        <v>100</v>
      </c>
      <c r="G428" s="200"/>
      <c r="H428" s="239">
        <f t="shared" si="25"/>
        <v>5000</v>
      </c>
      <c r="I428" s="84"/>
      <c r="J428" s="191">
        <f t="shared" si="29"/>
        <v>5000</v>
      </c>
      <c r="K428" s="84"/>
      <c r="L428" s="84"/>
      <c r="M428" s="84"/>
      <c r="N428" s="84"/>
      <c r="P428" s="37">
        <f t="shared" si="28"/>
        <v>5000</v>
      </c>
      <c r="Q428" s="37"/>
      <c r="R428" s="37"/>
    </row>
    <row r="429" spans="1:18" ht="18">
      <c r="A429" s="83" t="s">
        <v>70</v>
      </c>
      <c r="B429" s="84" t="s">
        <v>71</v>
      </c>
      <c r="C429" s="85">
        <v>1000</v>
      </c>
      <c r="D429" s="85">
        <v>1000</v>
      </c>
      <c r="E429" s="93">
        <f t="shared" si="26"/>
        <v>0</v>
      </c>
      <c r="F429" s="238">
        <f t="shared" si="27"/>
        <v>100</v>
      </c>
      <c r="G429" s="200"/>
      <c r="H429" s="239">
        <f t="shared" si="25"/>
        <v>1000</v>
      </c>
      <c r="I429" s="84"/>
      <c r="J429" s="191">
        <f t="shared" si="29"/>
        <v>1000</v>
      </c>
      <c r="K429" s="84"/>
      <c r="L429" s="84"/>
      <c r="M429" s="84"/>
      <c r="N429" s="84"/>
      <c r="P429" s="37">
        <f t="shared" si="28"/>
        <v>1000</v>
      </c>
      <c r="Q429" s="37"/>
      <c r="R429" s="37"/>
    </row>
    <row r="430" spans="1:18" ht="18">
      <c r="A430" s="83" t="s">
        <v>16</v>
      </c>
      <c r="B430" s="84" t="s">
        <v>17</v>
      </c>
      <c r="C430" s="85">
        <v>20000</v>
      </c>
      <c r="D430" s="85">
        <v>20000</v>
      </c>
      <c r="E430" s="93">
        <f t="shared" si="26"/>
        <v>0</v>
      </c>
      <c r="F430" s="238">
        <f t="shared" si="27"/>
        <v>100</v>
      </c>
      <c r="G430" s="200"/>
      <c r="H430" s="239">
        <f t="shared" si="25"/>
        <v>20000</v>
      </c>
      <c r="I430" s="84"/>
      <c r="J430" s="191">
        <f t="shared" si="29"/>
        <v>20000</v>
      </c>
      <c r="K430" s="84"/>
      <c r="L430" s="84"/>
      <c r="M430" s="84"/>
      <c r="N430" s="84"/>
      <c r="P430" s="37">
        <f t="shared" si="28"/>
        <v>20000</v>
      </c>
      <c r="Q430" s="37"/>
      <c r="R430" s="37"/>
    </row>
    <row r="431" spans="1:18" ht="18">
      <c r="A431" s="83" t="s">
        <v>177</v>
      </c>
      <c r="B431" s="84" t="s">
        <v>178</v>
      </c>
      <c r="C431" s="85">
        <v>1500</v>
      </c>
      <c r="D431" s="85">
        <v>500</v>
      </c>
      <c r="E431" s="93">
        <f t="shared" si="26"/>
        <v>-1000</v>
      </c>
      <c r="F431" s="238">
        <f t="shared" si="27"/>
        <v>33.333333333333336</v>
      </c>
      <c r="G431" s="200"/>
      <c r="H431" s="239">
        <f t="shared" si="25"/>
        <v>500</v>
      </c>
      <c r="I431" s="84"/>
      <c r="J431" s="191">
        <f t="shared" si="29"/>
        <v>500</v>
      </c>
      <c r="K431" s="84"/>
      <c r="L431" s="84"/>
      <c r="M431" s="84"/>
      <c r="N431" s="84"/>
      <c r="P431" s="37">
        <f t="shared" si="28"/>
        <v>500</v>
      </c>
      <c r="Q431" s="37"/>
      <c r="R431" s="37"/>
    </row>
    <row r="432" spans="1:18" ht="18">
      <c r="A432" s="83" t="s">
        <v>211</v>
      </c>
      <c r="B432" s="84" t="s">
        <v>212</v>
      </c>
      <c r="C432" s="85">
        <v>500</v>
      </c>
      <c r="D432" s="85">
        <v>500</v>
      </c>
      <c r="E432" s="93">
        <f t="shared" si="26"/>
        <v>0</v>
      </c>
      <c r="F432" s="238">
        <f t="shared" si="27"/>
        <v>100</v>
      </c>
      <c r="G432" s="200"/>
      <c r="H432" s="239">
        <f t="shared" si="25"/>
        <v>500</v>
      </c>
      <c r="I432" s="84"/>
      <c r="J432" s="191">
        <f t="shared" si="29"/>
        <v>500</v>
      </c>
      <c r="K432" s="84"/>
      <c r="L432" s="84"/>
      <c r="M432" s="84"/>
      <c r="N432" s="84"/>
      <c r="P432" s="37">
        <f t="shared" si="28"/>
        <v>500</v>
      </c>
      <c r="Q432" s="37"/>
      <c r="R432" s="37"/>
    </row>
    <row r="433" spans="1:18" ht="18">
      <c r="A433" s="83"/>
      <c r="B433" s="84" t="s">
        <v>213</v>
      </c>
      <c r="C433" s="85"/>
      <c r="D433" s="85"/>
      <c r="E433" s="93"/>
      <c r="F433" s="238"/>
      <c r="G433" s="200"/>
      <c r="H433" s="239">
        <f t="shared" si="25"/>
        <v>0</v>
      </c>
      <c r="I433" s="84"/>
      <c r="J433" s="84"/>
      <c r="K433" s="84"/>
      <c r="L433" s="84"/>
      <c r="M433" s="84"/>
      <c r="N433" s="84"/>
      <c r="P433" s="37">
        <f t="shared" si="28"/>
        <v>0</v>
      </c>
      <c r="Q433" s="37"/>
      <c r="R433" s="37"/>
    </row>
    <row r="434" spans="1:18" ht="18">
      <c r="A434" s="83" t="s">
        <v>214</v>
      </c>
      <c r="B434" s="84" t="s">
        <v>212</v>
      </c>
      <c r="C434" s="85">
        <v>6000</v>
      </c>
      <c r="D434" s="85">
        <v>3500</v>
      </c>
      <c r="E434" s="93">
        <f t="shared" si="26"/>
        <v>-2500</v>
      </c>
      <c r="F434" s="238">
        <f t="shared" si="27"/>
        <v>58.333333333333336</v>
      </c>
      <c r="G434" s="200"/>
      <c r="H434" s="239">
        <f t="shared" si="25"/>
        <v>3500</v>
      </c>
      <c r="I434" s="84"/>
      <c r="J434" s="191">
        <f>D434</f>
        <v>3500</v>
      </c>
      <c r="K434" s="84"/>
      <c r="L434" s="84"/>
      <c r="M434" s="84"/>
      <c r="N434" s="84"/>
      <c r="P434" s="37">
        <f t="shared" si="28"/>
        <v>3500</v>
      </c>
      <c r="Q434" s="37"/>
      <c r="R434" s="37"/>
    </row>
    <row r="435" spans="1:18" ht="18">
      <c r="A435" s="83"/>
      <c r="B435" s="84" t="s">
        <v>215</v>
      </c>
      <c r="C435" s="85"/>
      <c r="D435" s="85"/>
      <c r="E435" s="93"/>
      <c r="F435" s="238"/>
      <c r="G435" s="200"/>
      <c r="H435" s="239">
        <f t="shared" si="25"/>
        <v>0</v>
      </c>
      <c r="I435" s="84"/>
      <c r="J435" s="84"/>
      <c r="K435" s="84"/>
      <c r="L435" s="84"/>
      <c r="M435" s="84"/>
      <c r="N435" s="84"/>
      <c r="P435" s="37">
        <f t="shared" si="28"/>
        <v>0</v>
      </c>
      <c r="Q435" s="37"/>
      <c r="R435" s="37"/>
    </row>
    <row r="436" spans="1:18" ht="18">
      <c r="A436" s="83" t="s">
        <v>240</v>
      </c>
      <c r="B436" s="84" t="s">
        <v>241</v>
      </c>
      <c r="C436" s="85">
        <v>500</v>
      </c>
      <c r="D436" s="85">
        <v>500</v>
      </c>
      <c r="E436" s="93">
        <f t="shared" si="26"/>
        <v>0</v>
      </c>
      <c r="F436" s="238">
        <f t="shared" si="27"/>
        <v>100</v>
      </c>
      <c r="G436" s="200"/>
      <c r="H436" s="239">
        <f t="shared" si="25"/>
        <v>500</v>
      </c>
      <c r="I436" s="84"/>
      <c r="J436" s="191">
        <f>D436</f>
        <v>500</v>
      </c>
      <c r="K436" s="84"/>
      <c r="L436" s="84"/>
      <c r="M436" s="84"/>
      <c r="N436" s="84"/>
      <c r="P436" s="37">
        <f t="shared" si="28"/>
        <v>500</v>
      </c>
      <c r="Q436" s="37"/>
      <c r="R436" s="37"/>
    </row>
    <row r="437" spans="1:18" ht="18">
      <c r="A437" s="83"/>
      <c r="B437" s="84" t="s">
        <v>242</v>
      </c>
      <c r="C437" s="85"/>
      <c r="D437" s="85"/>
      <c r="E437" s="93"/>
      <c r="F437" s="238"/>
      <c r="G437" s="200"/>
      <c r="H437" s="239">
        <f t="shared" si="25"/>
        <v>0</v>
      </c>
      <c r="I437" s="84"/>
      <c r="J437" s="84"/>
      <c r="K437" s="84"/>
      <c r="L437" s="84"/>
      <c r="M437" s="84"/>
      <c r="N437" s="84"/>
      <c r="P437" s="37">
        <f t="shared" si="28"/>
        <v>0</v>
      </c>
      <c r="Q437" s="37"/>
      <c r="R437" s="37"/>
    </row>
    <row r="438" spans="1:18" ht="18">
      <c r="A438" s="83" t="s">
        <v>36</v>
      </c>
      <c r="B438" s="84" t="s">
        <v>37</v>
      </c>
      <c r="C438" s="85">
        <v>1000</v>
      </c>
      <c r="D438" s="85">
        <v>1000</v>
      </c>
      <c r="E438" s="93">
        <f t="shared" si="26"/>
        <v>0</v>
      </c>
      <c r="F438" s="238">
        <f t="shared" si="27"/>
        <v>100</v>
      </c>
      <c r="G438" s="200"/>
      <c r="H438" s="239">
        <f t="shared" si="25"/>
        <v>1000</v>
      </c>
      <c r="I438" s="84"/>
      <c r="J438" s="191">
        <f>D438</f>
        <v>1000</v>
      </c>
      <c r="K438" s="84"/>
      <c r="L438" s="84"/>
      <c r="M438" s="84"/>
      <c r="N438" s="84"/>
      <c r="P438" s="37">
        <f t="shared" si="28"/>
        <v>1000</v>
      </c>
      <c r="Q438" s="37"/>
      <c r="R438" s="37"/>
    </row>
    <row r="439" spans="1:18" ht="18">
      <c r="A439" s="83" t="s">
        <v>53</v>
      </c>
      <c r="B439" s="84" t="s">
        <v>54</v>
      </c>
      <c r="C439" s="85">
        <v>200</v>
      </c>
      <c r="D439" s="85">
        <v>200</v>
      </c>
      <c r="E439" s="93">
        <f t="shared" si="26"/>
        <v>0</v>
      </c>
      <c r="F439" s="238">
        <f t="shared" si="27"/>
        <v>100</v>
      </c>
      <c r="G439" s="200"/>
      <c r="H439" s="239">
        <f t="shared" si="25"/>
        <v>200</v>
      </c>
      <c r="I439" s="84"/>
      <c r="J439" s="191">
        <f>D439</f>
        <v>200</v>
      </c>
      <c r="K439" s="84"/>
      <c r="L439" s="84"/>
      <c r="M439" s="84"/>
      <c r="N439" s="84"/>
      <c r="P439" s="37">
        <f t="shared" si="28"/>
        <v>200</v>
      </c>
      <c r="Q439" s="37"/>
      <c r="R439" s="37"/>
    </row>
    <row r="440" spans="1:18" ht="18">
      <c r="A440" s="83" t="s">
        <v>38</v>
      </c>
      <c r="B440" s="84" t="s">
        <v>72</v>
      </c>
      <c r="C440" s="85">
        <v>6000</v>
      </c>
      <c r="D440" s="85">
        <v>6600</v>
      </c>
      <c r="E440" s="93">
        <f t="shared" si="26"/>
        <v>600</v>
      </c>
      <c r="F440" s="238">
        <f t="shared" si="27"/>
        <v>110</v>
      </c>
      <c r="G440" s="200"/>
      <c r="H440" s="239">
        <f t="shared" si="25"/>
        <v>6600</v>
      </c>
      <c r="I440" s="84"/>
      <c r="J440" s="191">
        <f>D440</f>
        <v>6600</v>
      </c>
      <c r="K440" s="84"/>
      <c r="L440" s="84"/>
      <c r="M440" s="84"/>
      <c r="N440" s="84"/>
      <c r="P440" s="37">
        <f t="shared" si="28"/>
        <v>6600</v>
      </c>
      <c r="Q440" s="37"/>
      <c r="R440" s="37"/>
    </row>
    <row r="441" spans="1:18" ht="18">
      <c r="A441" s="83" t="s">
        <v>223</v>
      </c>
      <c r="B441" s="108" t="s">
        <v>228</v>
      </c>
      <c r="C441" s="85">
        <v>4700</v>
      </c>
      <c r="D441" s="85">
        <v>5000</v>
      </c>
      <c r="E441" s="93">
        <f t="shared" si="26"/>
        <v>300</v>
      </c>
      <c r="F441" s="238">
        <f t="shared" si="27"/>
        <v>106.38297872340425</v>
      </c>
      <c r="G441" s="200"/>
      <c r="H441" s="239">
        <f t="shared" si="25"/>
        <v>5000</v>
      </c>
      <c r="I441" s="84"/>
      <c r="J441" s="191">
        <f>D441</f>
        <v>5000</v>
      </c>
      <c r="K441" s="84"/>
      <c r="L441" s="84"/>
      <c r="M441" s="84"/>
      <c r="N441" s="84"/>
      <c r="P441" s="37">
        <f t="shared" si="28"/>
        <v>5000</v>
      </c>
      <c r="Q441" s="37"/>
      <c r="R441" s="37"/>
    </row>
    <row r="442" spans="1:18" ht="18">
      <c r="A442" s="83"/>
      <c r="B442" s="108" t="s">
        <v>225</v>
      </c>
      <c r="C442" s="85"/>
      <c r="D442" s="85"/>
      <c r="E442" s="93"/>
      <c r="F442" s="238"/>
      <c r="G442" s="200"/>
      <c r="H442" s="239">
        <f t="shared" si="25"/>
        <v>0</v>
      </c>
      <c r="I442" s="84"/>
      <c r="J442" s="84"/>
      <c r="K442" s="84"/>
      <c r="L442" s="84"/>
      <c r="M442" s="84"/>
      <c r="N442" s="84"/>
      <c r="P442" s="37">
        <f t="shared" si="28"/>
        <v>0</v>
      </c>
      <c r="Q442" s="37"/>
      <c r="R442" s="37"/>
    </row>
    <row r="443" spans="1:18" ht="18">
      <c r="A443" s="83" t="s">
        <v>216</v>
      </c>
      <c r="B443" s="108" t="s">
        <v>218</v>
      </c>
      <c r="C443" s="85">
        <v>5000</v>
      </c>
      <c r="D443" s="85">
        <v>3000</v>
      </c>
      <c r="E443" s="93">
        <f t="shared" si="26"/>
        <v>-2000</v>
      </c>
      <c r="F443" s="238">
        <f t="shared" si="27"/>
        <v>60</v>
      </c>
      <c r="G443" s="200"/>
      <c r="H443" s="239">
        <f t="shared" si="25"/>
        <v>3000</v>
      </c>
      <c r="I443" s="84"/>
      <c r="J443" s="191">
        <f>D443</f>
        <v>3000</v>
      </c>
      <c r="K443" s="84"/>
      <c r="L443" s="84"/>
      <c r="M443" s="84"/>
      <c r="N443" s="84"/>
      <c r="P443" s="37">
        <f t="shared" si="28"/>
        <v>3000</v>
      </c>
      <c r="Q443" s="37"/>
      <c r="R443" s="37"/>
    </row>
    <row r="444" spans="1:18" ht="18">
      <c r="A444" s="83"/>
      <c r="B444" s="108" t="s">
        <v>217</v>
      </c>
      <c r="C444" s="85"/>
      <c r="D444" s="85"/>
      <c r="E444" s="93"/>
      <c r="F444" s="238"/>
      <c r="G444" s="200"/>
      <c r="H444" s="239">
        <f t="shared" si="25"/>
        <v>0</v>
      </c>
      <c r="I444" s="84"/>
      <c r="J444" s="84"/>
      <c r="K444" s="84"/>
      <c r="L444" s="84"/>
      <c r="M444" s="84"/>
      <c r="N444" s="84"/>
      <c r="P444" s="37">
        <f t="shared" si="28"/>
        <v>0</v>
      </c>
      <c r="Q444" s="37"/>
      <c r="R444" s="37"/>
    </row>
    <row r="445" spans="1:18" ht="18">
      <c r="A445" s="83" t="s">
        <v>219</v>
      </c>
      <c r="B445" s="108" t="s">
        <v>220</v>
      </c>
      <c r="C445" s="85">
        <v>5000</v>
      </c>
      <c r="D445" s="85">
        <v>4000</v>
      </c>
      <c r="E445" s="93">
        <f t="shared" si="26"/>
        <v>-1000</v>
      </c>
      <c r="F445" s="238">
        <f t="shared" si="27"/>
        <v>80</v>
      </c>
      <c r="G445" s="200"/>
      <c r="H445" s="239">
        <f t="shared" si="25"/>
        <v>4000</v>
      </c>
      <c r="I445" s="84"/>
      <c r="J445" s="191">
        <f>D445</f>
        <v>4000</v>
      </c>
      <c r="K445" s="84"/>
      <c r="L445" s="84"/>
      <c r="M445" s="84"/>
      <c r="N445" s="84"/>
      <c r="P445" s="37">
        <f t="shared" si="28"/>
        <v>4000</v>
      </c>
      <c r="Q445" s="37"/>
      <c r="R445" s="37"/>
    </row>
    <row r="446" spans="1:18" ht="18">
      <c r="A446" s="83"/>
      <c r="B446" s="108" t="s">
        <v>221</v>
      </c>
      <c r="C446" s="85"/>
      <c r="D446" s="85"/>
      <c r="E446" s="93"/>
      <c r="F446" s="238"/>
      <c r="G446" s="200"/>
      <c r="H446" s="239">
        <f t="shared" si="25"/>
        <v>0</v>
      </c>
      <c r="I446" s="84"/>
      <c r="J446" s="84"/>
      <c r="K446" s="84"/>
      <c r="L446" s="84"/>
      <c r="M446" s="84"/>
      <c r="N446" s="84"/>
      <c r="P446" s="37">
        <f t="shared" si="28"/>
        <v>0</v>
      </c>
      <c r="Q446" s="37"/>
      <c r="R446" s="37"/>
    </row>
    <row r="447" spans="1:18" ht="18">
      <c r="A447" s="83" t="s">
        <v>73</v>
      </c>
      <c r="B447" s="108" t="s">
        <v>222</v>
      </c>
      <c r="C447" s="85">
        <v>5000</v>
      </c>
      <c r="D447" s="85">
        <v>5000</v>
      </c>
      <c r="E447" s="93">
        <f t="shared" si="26"/>
        <v>0</v>
      </c>
      <c r="F447" s="238">
        <f t="shared" si="27"/>
        <v>100</v>
      </c>
      <c r="G447" s="200"/>
      <c r="H447" s="239">
        <f t="shared" si="25"/>
        <v>0</v>
      </c>
      <c r="I447" s="191"/>
      <c r="J447" s="191"/>
      <c r="K447" s="191"/>
      <c r="L447" s="191"/>
      <c r="M447" s="191"/>
      <c r="N447" s="191">
        <f>D447</f>
        <v>5000</v>
      </c>
      <c r="P447" s="37">
        <f t="shared" si="28"/>
        <v>5000</v>
      </c>
      <c r="Q447" s="37"/>
      <c r="R447" s="37"/>
    </row>
    <row r="448" spans="1:18" ht="18">
      <c r="A448" s="83"/>
      <c r="B448" s="84"/>
      <c r="C448" s="85"/>
      <c r="D448" s="94"/>
      <c r="E448" s="93"/>
      <c r="F448" s="238"/>
      <c r="G448" s="200"/>
      <c r="H448" s="239">
        <f t="shared" si="25"/>
        <v>0</v>
      </c>
      <c r="I448" s="84"/>
      <c r="J448" s="84"/>
      <c r="K448" s="84"/>
      <c r="L448" s="84"/>
      <c r="M448" s="84"/>
      <c r="N448" s="84"/>
      <c r="P448" s="37"/>
      <c r="Q448" s="37"/>
      <c r="R448" s="37"/>
    </row>
    <row r="449" spans="1:18" ht="18">
      <c r="A449" s="95" t="s">
        <v>128</v>
      </c>
      <c r="B449" s="96" t="s">
        <v>129</v>
      </c>
      <c r="C449" s="97">
        <f>SUM(C451)</f>
        <v>40000</v>
      </c>
      <c r="D449" s="98">
        <f>SUM(D451)</f>
        <v>30000</v>
      </c>
      <c r="E449" s="93">
        <f t="shared" si="26"/>
        <v>-10000</v>
      </c>
      <c r="F449" s="238">
        <f t="shared" si="27"/>
        <v>75</v>
      </c>
      <c r="G449" s="200"/>
      <c r="H449" s="239">
        <f t="shared" si="25"/>
        <v>0</v>
      </c>
      <c r="I449" s="84"/>
      <c r="J449" s="84"/>
      <c r="K449" s="84"/>
      <c r="L449" s="84"/>
      <c r="M449" s="84"/>
      <c r="N449" s="84"/>
      <c r="P449" s="37"/>
      <c r="Q449" s="37"/>
      <c r="R449" s="37"/>
    </row>
    <row r="450" spans="1:18" ht="18">
      <c r="A450" s="83"/>
      <c r="B450" s="96" t="s">
        <v>130</v>
      </c>
      <c r="C450" s="85"/>
      <c r="D450" s="94"/>
      <c r="E450" s="93"/>
      <c r="F450" s="238"/>
      <c r="G450" s="200"/>
      <c r="H450" s="239">
        <f t="shared" si="25"/>
        <v>0</v>
      </c>
      <c r="I450" s="84"/>
      <c r="J450" s="84"/>
      <c r="K450" s="84"/>
      <c r="L450" s="84"/>
      <c r="M450" s="84"/>
      <c r="N450" s="84"/>
      <c r="P450" s="37"/>
      <c r="Q450" s="37"/>
      <c r="R450" s="37"/>
    </row>
    <row r="451" spans="1:18" ht="18">
      <c r="A451" s="83" t="s">
        <v>16</v>
      </c>
      <c r="B451" s="84" t="s">
        <v>17</v>
      </c>
      <c r="C451" s="85">
        <v>40000</v>
      </c>
      <c r="D451" s="94">
        <v>30000</v>
      </c>
      <c r="E451" s="93">
        <f t="shared" si="26"/>
        <v>-10000</v>
      </c>
      <c r="F451" s="238">
        <f t="shared" si="27"/>
        <v>75</v>
      </c>
      <c r="G451" s="200"/>
      <c r="H451" s="239">
        <f t="shared" si="25"/>
        <v>30000</v>
      </c>
      <c r="I451" s="84"/>
      <c r="J451" s="191">
        <f>D451</f>
        <v>30000</v>
      </c>
      <c r="K451" s="84"/>
      <c r="L451" s="84"/>
      <c r="M451" s="84"/>
      <c r="N451" s="84"/>
      <c r="P451" s="37">
        <f>D451</f>
        <v>30000</v>
      </c>
      <c r="Q451" s="37"/>
      <c r="R451" s="37"/>
    </row>
    <row r="452" spans="1:18" ht="18">
      <c r="A452" s="83"/>
      <c r="B452" s="84"/>
      <c r="C452" s="85"/>
      <c r="D452" s="94"/>
      <c r="E452" s="93"/>
      <c r="F452" s="238"/>
      <c r="G452" s="200"/>
      <c r="H452" s="239">
        <f t="shared" si="25"/>
        <v>0</v>
      </c>
      <c r="I452" s="84"/>
      <c r="J452" s="84"/>
      <c r="K452" s="84"/>
      <c r="L452" s="84"/>
      <c r="M452" s="84"/>
      <c r="N452" s="84"/>
      <c r="P452" s="37"/>
      <c r="Q452" s="37"/>
      <c r="R452" s="37"/>
    </row>
    <row r="453" spans="1:18" ht="18">
      <c r="A453" s="95" t="s">
        <v>131</v>
      </c>
      <c r="B453" s="96" t="s">
        <v>15</v>
      </c>
      <c r="C453" s="97">
        <f>SUM(C454:C456)</f>
        <v>386000</v>
      </c>
      <c r="D453" s="98">
        <f>SUM(D454:D456)</f>
        <v>133000</v>
      </c>
      <c r="E453" s="93">
        <f t="shared" si="26"/>
        <v>-253000</v>
      </c>
      <c r="F453" s="238">
        <f t="shared" si="27"/>
        <v>34.4559585492228</v>
      </c>
      <c r="G453" s="200"/>
      <c r="H453" s="239">
        <f t="shared" si="25"/>
        <v>0</v>
      </c>
      <c r="I453" s="84"/>
      <c r="J453" s="84"/>
      <c r="K453" s="84"/>
      <c r="L453" s="84"/>
      <c r="M453" s="84"/>
      <c r="N453" s="84"/>
      <c r="P453" s="37"/>
      <c r="Q453" s="37"/>
      <c r="R453" s="37"/>
    </row>
    <row r="454" spans="1:18" ht="18">
      <c r="A454" s="83" t="s">
        <v>116</v>
      </c>
      <c r="B454" s="84" t="s">
        <v>117</v>
      </c>
      <c r="C454" s="85">
        <v>376000</v>
      </c>
      <c r="D454" s="94">
        <v>120000</v>
      </c>
      <c r="E454" s="93">
        <f t="shared" si="26"/>
        <v>-256000</v>
      </c>
      <c r="F454" s="238">
        <f t="shared" si="27"/>
        <v>31.914893617021278</v>
      </c>
      <c r="G454" s="200" t="s">
        <v>418</v>
      </c>
      <c r="H454" s="239">
        <f t="shared" si="25"/>
        <v>120000</v>
      </c>
      <c r="I454" s="84"/>
      <c r="J454" s="84"/>
      <c r="K454" s="84"/>
      <c r="L454" s="191">
        <f>D454</f>
        <v>120000</v>
      </c>
      <c r="M454" s="84"/>
      <c r="N454" s="84"/>
      <c r="P454" s="37">
        <f>D454</f>
        <v>120000</v>
      </c>
      <c r="Q454" s="37"/>
      <c r="R454" s="37"/>
    </row>
    <row r="455" spans="1:18" ht="18">
      <c r="A455" s="83" t="s">
        <v>34</v>
      </c>
      <c r="B455" s="84" t="s">
        <v>35</v>
      </c>
      <c r="C455" s="85">
        <v>5000</v>
      </c>
      <c r="D455" s="94">
        <v>6000</v>
      </c>
      <c r="E455" s="93">
        <f t="shared" si="26"/>
        <v>1000</v>
      </c>
      <c r="F455" s="238">
        <f t="shared" si="27"/>
        <v>120</v>
      </c>
      <c r="G455" s="200"/>
      <c r="H455" s="239">
        <f t="shared" si="25"/>
        <v>6000</v>
      </c>
      <c r="I455" s="84"/>
      <c r="J455" s="191">
        <f>D455</f>
        <v>6000</v>
      </c>
      <c r="K455" s="84"/>
      <c r="L455" s="84"/>
      <c r="M455" s="84"/>
      <c r="N455" s="84"/>
      <c r="P455" s="37">
        <f>D455</f>
        <v>6000</v>
      </c>
      <c r="Q455" s="37"/>
      <c r="R455" s="37"/>
    </row>
    <row r="456" spans="1:18" ht="18">
      <c r="A456" s="99" t="s">
        <v>16</v>
      </c>
      <c r="B456" s="100" t="s">
        <v>17</v>
      </c>
      <c r="C456" s="101">
        <v>5000</v>
      </c>
      <c r="D456" s="102">
        <v>7000</v>
      </c>
      <c r="E456" s="93">
        <f t="shared" si="26"/>
        <v>2000</v>
      </c>
      <c r="F456" s="238">
        <f t="shared" si="27"/>
        <v>140</v>
      </c>
      <c r="G456" s="200"/>
      <c r="H456" s="239">
        <f t="shared" si="25"/>
        <v>7000</v>
      </c>
      <c r="I456" s="84"/>
      <c r="J456" s="191">
        <f>D456</f>
        <v>7000</v>
      </c>
      <c r="K456" s="84"/>
      <c r="L456" s="84"/>
      <c r="M456" s="84"/>
      <c r="N456" s="84"/>
      <c r="P456" s="37">
        <f>D456</f>
        <v>7000</v>
      </c>
      <c r="Q456" s="37"/>
      <c r="R456" s="37"/>
    </row>
    <row r="457" spans="1:18" ht="18">
      <c r="A457" s="99"/>
      <c r="B457" s="100"/>
      <c r="C457" s="101"/>
      <c r="D457" s="102"/>
      <c r="E457" s="93"/>
      <c r="F457" s="238"/>
      <c r="G457" s="200"/>
      <c r="H457" s="239">
        <f aca="true" t="shared" si="30" ref="H457:H521">SUM(I457:M457)</f>
        <v>0</v>
      </c>
      <c r="I457" s="84"/>
      <c r="J457" s="84"/>
      <c r="K457" s="84"/>
      <c r="L457" s="84"/>
      <c r="M457" s="84"/>
      <c r="N457" s="84"/>
      <c r="P457" s="37"/>
      <c r="Q457" s="37"/>
      <c r="R457" s="37"/>
    </row>
    <row r="458" spans="1:18" ht="18">
      <c r="A458" s="89" t="s">
        <v>132</v>
      </c>
      <c r="B458" s="90" t="s">
        <v>133</v>
      </c>
      <c r="C458" s="91">
        <f>SUM(C460+C464)</f>
        <v>12500</v>
      </c>
      <c r="D458" s="92">
        <f>SUM(D460+D464)</f>
        <v>10000</v>
      </c>
      <c r="E458" s="93">
        <f t="shared" si="26"/>
        <v>-2500</v>
      </c>
      <c r="F458" s="238">
        <f t="shared" si="27"/>
        <v>80</v>
      </c>
      <c r="G458" s="200"/>
      <c r="H458" s="239">
        <f t="shared" si="30"/>
        <v>0</v>
      </c>
      <c r="I458" s="84"/>
      <c r="J458" s="84"/>
      <c r="K458" s="84"/>
      <c r="L458" s="84"/>
      <c r="M458" s="84"/>
      <c r="N458" s="84"/>
      <c r="P458" s="37"/>
      <c r="Q458" s="37"/>
      <c r="R458" s="37"/>
    </row>
    <row r="459" spans="1:14" ht="18">
      <c r="A459" s="95"/>
      <c r="B459" s="96"/>
      <c r="C459" s="97"/>
      <c r="D459" s="98"/>
      <c r="E459" s="93"/>
      <c r="F459" s="238"/>
      <c r="G459" s="200"/>
      <c r="H459" s="239">
        <f t="shared" si="30"/>
        <v>0</v>
      </c>
      <c r="I459" s="84"/>
      <c r="J459" s="84"/>
      <c r="K459" s="84"/>
      <c r="L459" s="84"/>
      <c r="M459" s="84"/>
      <c r="N459" s="84"/>
    </row>
    <row r="460" spans="1:14" ht="18">
      <c r="A460" s="95" t="s">
        <v>134</v>
      </c>
      <c r="B460" s="96" t="s">
        <v>135</v>
      </c>
      <c r="C460" s="97">
        <f>SUM(C461:C462)</f>
        <v>10000</v>
      </c>
      <c r="D460" s="98">
        <f>SUM(D461:D462)</f>
        <v>10000</v>
      </c>
      <c r="E460" s="93">
        <f t="shared" si="26"/>
        <v>0</v>
      </c>
      <c r="F460" s="238">
        <f t="shared" si="27"/>
        <v>100</v>
      </c>
      <c r="G460" s="200"/>
      <c r="H460" s="239">
        <f t="shared" si="30"/>
        <v>0</v>
      </c>
      <c r="I460" s="84"/>
      <c r="J460" s="84"/>
      <c r="K460" s="84"/>
      <c r="L460" s="84"/>
      <c r="M460" s="84"/>
      <c r="N460" s="84"/>
    </row>
    <row r="461" spans="1:14" ht="18">
      <c r="A461" s="83" t="s">
        <v>136</v>
      </c>
      <c r="B461" s="84" t="s">
        <v>137</v>
      </c>
      <c r="C461" s="85">
        <v>5000</v>
      </c>
      <c r="D461" s="85">
        <v>5000</v>
      </c>
      <c r="E461" s="93">
        <f t="shared" si="26"/>
        <v>0</v>
      </c>
      <c r="F461" s="238">
        <f t="shared" si="27"/>
        <v>100</v>
      </c>
      <c r="G461" s="200"/>
      <c r="H461" s="239">
        <f t="shared" si="30"/>
        <v>5000</v>
      </c>
      <c r="I461" s="84"/>
      <c r="J461" s="84"/>
      <c r="K461" s="84"/>
      <c r="L461" s="191">
        <f>D461</f>
        <v>5000</v>
      </c>
      <c r="M461" s="84"/>
      <c r="N461" s="84"/>
    </row>
    <row r="462" spans="1:14" ht="18">
      <c r="A462" s="83" t="s">
        <v>171</v>
      </c>
      <c r="B462" s="84" t="s">
        <v>172</v>
      </c>
      <c r="C462" s="85">
        <v>5000</v>
      </c>
      <c r="D462" s="85">
        <v>5000</v>
      </c>
      <c r="E462" s="93">
        <f t="shared" si="26"/>
        <v>0</v>
      </c>
      <c r="F462" s="238">
        <f t="shared" si="27"/>
        <v>100</v>
      </c>
      <c r="G462" s="200"/>
      <c r="H462" s="239">
        <f t="shared" si="30"/>
        <v>5000</v>
      </c>
      <c r="I462" s="84"/>
      <c r="J462" s="84"/>
      <c r="K462" s="84"/>
      <c r="L462" s="191">
        <f>D462</f>
        <v>5000</v>
      </c>
      <c r="M462" s="84"/>
      <c r="N462" s="84"/>
    </row>
    <row r="463" spans="1:14" ht="18">
      <c r="A463" s="83"/>
      <c r="B463" s="84"/>
      <c r="C463" s="85"/>
      <c r="D463" s="94"/>
      <c r="E463" s="93"/>
      <c r="F463" s="238"/>
      <c r="G463" s="200"/>
      <c r="H463" s="239">
        <f t="shared" si="30"/>
        <v>0</v>
      </c>
      <c r="I463" s="84"/>
      <c r="J463" s="84"/>
      <c r="K463" s="84"/>
      <c r="L463" s="84"/>
      <c r="M463" s="84"/>
      <c r="N463" s="84"/>
    </row>
    <row r="464" spans="1:14" ht="18">
      <c r="A464" s="95" t="s">
        <v>138</v>
      </c>
      <c r="B464" s="96" t="s">
        <v>15</v>
      </c>
      <c r="C464" s="97">
        <f>SUM(C465)</f>
        <v>2500</v>
      </c>
      <c r="D464" s="98">
        <f>SUM(D465)</f>
        <v>0</v>
      </c>
      <c r="E464" s="93">
        <f t="shared" si="26"/>
        <v>-2500</v>
      </c>
      <c r="F464" s="238">
        <f t="shared" si="27"/>
        <v>0</v>
      </c>
      <c r="G464" s="200"/>
      <c r="H464" s="239">
        <f t="shared" si="30"/>
        <v>0</v>
      </c>
      <c r="I464" s="84"/>
      <c r="J464" s="84"/>
      <c r="K464" s="84"/>
      <c r="L464" s="84"/>
      <c r="M464" s="84"/>
      <c r="N464" s="84"/>
    </row>
    <row r="465" spans="1:14" ht="18">
      <c r="A465" s="83" t="s">
        <v>104</v>
      </c>
      <c r="B465" s="84" t="s">
        <v>105</v>
      </c>
      <c r="C465" s="85">
        <v>2500</v>
      </c>
      <c r="D465" s="94">
        <v>0</v>
      </c>
      <c r="E465" s="93">
        <f t="shared" si="26"/>
        <v>-2500</v>
      </c>
      <c r="F465" s="238">
        <f t="shared" si="27"/>
        <v>0</v>
      </c>
      <c r="G465" s="200" t="s">
        <v>311</v>
      </c>
      <c r="H465" s="239">
        <f t="shared" si="30"/>
        <v>0</v>
      </c>
      <c r="I465" s="84"/>
      <c r="J465" s="84"/>
      <c r="K465" s="191">
        <f>D465</f>
        <v>0</v>
      </c>
      <c r="L465" s="84"/>
      <c r="M465" s="84"/>
      <c r="N465" s="84"/>
    </row>
    <row r="466" spans="1:14" ht="18">
      <c r="A466" s="83"/>
      <c r="B466" s="84" t="s">
        <v>106</v>
      </c>
      <c r="C466" s="85"/>
      <c r="D466" s="94"/>
      <c r="E466" s="93"/>
      <c r="F466" s="238"/>
      <c r="G466" s="200"/>
      <c r="H466" s="239">
        <f t="shared" si="30"/>
        <v>0</v>
      </c>
      <c r="I466" s="84"/>
      <c r="J466" s="84"/>
      <c r="K466" s="84"/>
      <c r="L466" s="84"/>
      <c r="M466" s="84"/>
      <c r="N466" s="84"/>
    </row>
    <row r="467" spans="1:14" ht="18">
      <c r="A467" s="83"/>
      <c r="B467" s="84" t="s">
        <v>107</v>
      </c>
      <c r="C467" s="85"/>
      <c r="D467" s="94"/>
      <c r="E467" s="93"/>
      <c r="F467" s="238"/>
      <c r="G467" s="200"/>
      <c r="H467" s="239">
        <f t="shared" si="30"/>
        <v>0</v>
      </c>
      <c r="I467" s="84"/>
      <c r="J467" s="84"/>
      <c r="K467" s="84"/>
      <c r="L467" s="84"/>
      <c r="M467" s="84"/>
      <c r="N467" s="84"/>
    </row>
    <row r="468" spans="1:14" ht="18">
      <c r="A468" s="89" t="s">
        <v>139</v>
      </c>
      <c r="B468" s="90" t="s">
        <v>140</v>
      </c>
      <c r="C468" s="91">
        <f>SUM(C484+C490+C499+C471+C476+C494+C480)</f>
        <v>416054</v>
      </c>
      <c r="D468" s="92">
        <f>SUM(D484+D490+D499+D471+D476+D494+D480)</f>
        <v>494661</v>
      </c>
      <c r="E468" s="93">
        <f t="shared" si="26"/>
        <v>78607</v>
      </c>
      <c r="F468" s="238">
        <f t="shared" si="27"/>
        <v>118.89346094497348</v>
      </c>
      <c r="G468" s="200"/>
      <c r="H468" s="239">
        <f t="shared" si="30"/>
        <v>0</v>
      </c>
      <c r="I468" s="84"/>
      <c r="J468" s="84"/>
      <c r="K468" s="84"/>
      <c r="L468" s="84"/>
      <c r="M468" s="84"/>
      <c r="N468" s="84"/>
    </row>
    <row r="469" spans="1:14" ht="18">
      <c r="A469" s="83"/>
      <c r="B469" s="84"/>
      <c r="C469" s="85"/>
      <c r="D469" s="94"/>
      <c r="E469" s="93"/>
      <c r="F469" s="238"/>
      <c r="G469" s="200"/>
      <c r="H469" s="239">
        <f t="shared" si="30"/>
        <v>0</v>
      </c>
      <c r="I469" s="84"/>
      <c r="J469" s="84"/>
      <c r="K469" s="84"/>
      <c r="L469" s="84"/>
      <c r="M469" s="84"/>
      <c r="N469" s="84"/>
    </row>
    <row r="470" spans="1:14" ht="18">
      <c r="A470" s="83"/>
      <c r="B470" s="84"/>
      <c r="C470" s="85"/>
      <c r="D470" s="94"/>
      <c r="E470" s="93"/>
      <c r="F470" s="238"/>
      <c r="G470" s="200"/>
      <c r="H470" s="239">
        <f t="shared" si="30"/>
        <v>0</v>
      </c>
      <c r="I470" s="84"/>
      <c r="J470" s="84"/>
      <c r="K470" s="84"/>
      <c r="L470" s="84"/>
      <c r="M470" s="84"/>
      <c r="N470" s="84"/>
    </row>
    <row r="471" spans="1:14" ht="18">
      <c r="A471" s="95" t="s">
        <v>186</v>
      </c>
      <c r="B471" s="96" t="s">
        <v>187</v>
      </c>
      <c r="C471" s="97">
        <f>SUM(C472:C474)</f>
        <v>15000</v>
      </c>
      <c r="D471" s="98">
        <f>SUM(D472:D474)</f>
        <v>15000</v>
      </c>
      <c r="E471" s="93">
        <f t="shared" si="26"/>
        <v>0</v>
      </c>
      <c r="F471" s="238">
        <f t="shared" si="27"/>
        <v>100</v>
      </c>
      <c r="G471" s="200"/>
      <c r="H471" s="239">
        <f t="shared" si="30"/>
        <v>0</v>
      </c>
      <c r="I471" s="84"/>
      <c r="J471" s="84"/>
      <c r="K471" s="84"/>
      <c r="L471" s="84"/>
      <c r="M471" s="84"/>
      <c r="N471" s="84"/>
    </row>
    <row r="472" spans="1:14" ht="18">
      <c r="A472" s="83"/>
      <c r="B472" s="84"/>
      <c r="C472" s="85"/>
      <c r="D472" s="94"/>
      <c r="E472" s="93"/>
      <c r="F472" s="238"/>
      <c r="G472" s="200"/>
      <c r="H472" s="239">
        <f t="shared" si="30"/>
        <v>0</v>
      </c>
      <c r="I472" s="84"/>
      <c r="J472" s="84"/>
      <c r="K472" s="84"/>
      <c r="L472" s="84"/>
      <c r="M472" s="84"/>
      <c r="N472" s="84"/>
    </row>
    <row r="473" spans="1:14" ht="18">
      <c r="A473" s="83" t="s">
        <v>34</v>
      </c>
      <c r="B473" s="84" t="s">
        <v>35</v>
      </c>
      <c r="C473" s="85">
        <v>2000</v>
      </c>
      <c r="D473" s="85">
        <v>2000</v>
      </c>
      <c r="E473" s="93">
        <f t="shared" si="26"/>
        <v>0</v>
      </c>
      <c r="F473" s="238">
        <f t="shared" si="27"/>
        <v>100</v>
      </c>
      <c r="G473" s="200"/>
      <c r="H473" s="239">
        <f t="shared" si="30"/>
        <v>2000</v>
      </c>
      <c r="I473" s="84"/>
      <c r="J473" s="191">
        <f>D473</f>
        <v>2000</v>
      </c>
      <c r="K473" s="84"/>
      <c r="L473" s="84"/>
      <c r="M473" s="84"/>
      <c r="N473" s="84"/>
    </row>
    <row r="474" spans="1:14" ht="18">
      <c r="A474" s="83" t="s">
        <v>16</v>
      </c>
      <c r="B474" s="84" t="s">
        <v>17</v>
      </c>
      <c r="C474" s="85">
        <v>13000</v>
      </c>
      <c r="D474" s="85">
        <v>13000</v>
      </c>
      <c r="E474" s="93">
        <f t="shared" si="26"/>
        <v>0</v>
      </c>
      <c r="F474" s="238">
        <f t="shared" si="27"/>
        <v>100</v>
      </c>
      <c r="G474" s="200"/>
      <c r="H474" s="239">
        <f t="shared" si="30"/>
        <v>13000</v>
      </c>
      <c r="I474" s="84"/>
      <c r="J474" s="191">
        <f>D474</f>
        <v>13000</v>
      </c>
      <c r="K474" s="84"/>
      <c r="L474" s="84"/>
      <c r="M474" s="84"/>
      <c r="N474" s="84"/>
    </row>
    <row r="475" spans="1:14" ht="18">
      <c r="A475" s="83"/>
      <c r="B475" s="84"/>
      <c r="C475" s="85"/>
      <c r="D475" s="94"/>
      <c r="E475" s="93"/>
      <c r="F475" s="238"/>
      <c r="G475" s="200"/>
      <c r="H475" s="239">
        <f t="shared" si="30"/>
        <v>0</v>
      </c>
      <c r="I475" s="84"/>
      <c r="J475" s="84"/>
      <c r="K475" s="84"/>
      <c r="L475" s="84"/>
      <c r="M475" s="84"/>
      <c r="N475" s="84"/>
    </row>
    <row r="476" spans="1:14" ht="18">
      <c r="A476" s="95" t="s">
        <v>188</v>
      </c>
      <c r="B476" s="96" t="s">
        <v>189</v>
      </c>
      <c r="C476" s="97">
        <f>SUM(C477:C478)</f>
        <v>3000</v>
      </c>
      <c r="D476" s="98">
        <f>SUM(D477:D478)</f>
        <v>3000</v>
      </c>
      <c r="E476" s="93">
        <f aca="true" t="shared" si="31" ref="E476:E538">D476-C476</f>
        <v>0</v>
      </c>
      <c r="F476" s="238">
        <f aca="true" t="shared" si="32" ref="F476:F538">D476*100/C476</f>
        <v>100</v>
      </c>
      <c r="G476" s="200"/>
      <c r="H476" s="239">
        <f t="shared" si="30"/>
        <v>0</v>
      </c>
      <c r="I476" s="84"/>
      <c r="J476" s="84"/>
      <c r="K476" s="84"/>
      <c r="L476" s="84"/>
      <c r="M476" s="84"/>
      <c r="N476" s="84"/>
    </row>
    <row r="477" spans="1:14" ht="18">
      <c r="A477" s="83" t="s">
        <v>34</v>
      </c>
      <c r="B477" s="84" t="s">
        <v>35</v>
      </c>
      <c r="C477" s="85">
        <v>1500</v>
      </c>
      <c r="D477" s="94">
        <v>2000</v>
      </c>
      <c r="E477" s="93">
        <f t="shared" si="31"/>
        <v>500</v>
      </c>
      <c r="F477" s="238">
        <f t="shared" si="32"/>
        <v>133.33333333333334</v>
      </c>
      <c r="G477" s="200"/>
      <c r="H477" s="239">
        <f t="shared" si="30"/>
        <v>2000</v>
      </c>
      <c r="I477" s="84"/>
      <c r="J477" s="191">
        <f>D477</f>
        <v>2000</v>
      </c>
      <c r="K477" s="84"/>
      <c r="L477" s="84"/>
      <c r="M477" s="84"/>
      <c r="N477" s="84"/>
    </row>
    <row r="478" spans="1:14" ht="18">
      <c r="A478" s="83" t="s">
        <v>16</v>
      </c>
      <c r="B478" s="84" t="s">
        <v>17</v>
      </c>
      <c r="C478" s="85">
        <v>1500</v>
      </c>
      <c r="D478" s="94">
        <v>1000</v>
      </c>
      <c r="E478" s="93">
        <f t="shared" si="31"/>
        <v>-500</v>
      </c>
      <c r="F478" s="238">
        <f t="shared" si="32"/>
        <v>66.66666666666667</v>
      </c>
      <c r="G478" s="200"/>
      <c r="H478" s="239">
        <f t="shared" si="30"/>
        <v>1000</v>
      </c>
      <c r="I478" s="84"/>
      <c r="J478" s="191">
        <f>D478</f>
        <v>1000</v>
      </c>
      <c r="K478" s="84"/>
      <c r="L478" s="84"/>
      <c r="M478" s="84"/>
      <c r="N478" s="84"/>
    </row>
    <row r="479" spans="1:14" ht="18">
      <c r="A479" s="83"/>
      <c r="B479" s="84"/>
      <c r="C479" s="85"/>
      <c r="D479" s="94"/>
      <c r="E479" s="93"/>
      <c r="F479" s="238"/>
      <c r="G479" s="200"/>
      <c r="H479" s="239">
        <f t="shared" si="30"/>
        <v>0</v>
      </c>
      <c r="I479" s="84"/>
      <c r="J479" s="84"/>
      <c r="K479" s="84"/>
      <c r="L479" s="84"/>
      <c r="M479" s="84"/>
      <c r="N479" s="84"/>
    </row>
    <row r="480" spans="1:14" ht="18">
      <c r="A480" s="95" t="s">
        <v>229</v>
      </c>
      <c r="B480" s="96" t="s">
        <v>230</v>
      </c>
      <c r="C480" s="97">
        <f>SUM(C481)</f>
        <v>1000</v>
      </c>
      <c r="D480" s="98">
        <f>SUM(D481)</f>
        <v>1000</v>
      </c>
      <c r="E480" s="93">
        <f t="shared" si="31"/>
        <v>0</v>
      </c>
      <c r="F480" s="238">
        <f t="shared" si="32"/>
        <v>100</v>
      </c>
      <c r="G480" s="200"/>
      <c r="H480" s="239">
        <f t="shared" si="30"/>
        <v>0</v>
      </c>
      <c r="I480" s="84"/>
      <c r="J480" s="84"/>
      <c r="K480" s="84"/>
      <c r="L480" s="84"/>
      <c r="M480" s="84"/>
      <c r="N480" s="84"/>
    </row>
    <row r="481" spans="1:14" ht="18">
      <c r="A481" s="83" t="s">
        <v>16</v>
      </c>
      <c r="B481" s="84" t="s">
        <v>17</v>
      </c>
      <c r="C481" s="85">
        <v>1000</v>
      </c>
      <c r="D481" s="94">
        <v>1000</v>
      </c>
      <c r="E481" s="93">
        <f t="shared" si="31"/>
        <v>0</v>
      </c>
      <c r="F481" s="238">
        <f t="shared" si="32"/>
        <v>100</v>
      </c>
      <c r="G481" s="200"/>
      <c r="H481" s="239">
        <f t="shared" si="30"/>
        <v>1000</v>
      </c>
      <c r="I481" s="84"/>
      <c r="J481" s="191">
        <f>D481</f>
        <v>1000</v>
      </c>
      <c r="K481" s="84"/>
      <c r="L481" s="84"/>
      <c r="M481" s="84"/>
      <c r="N481" s="84"/>
    </row>
    <row r="482" spans="1:14" ht="18">
      <c r="A482" s="83"/>
      <c r="B482" s="84"/>
      <c r="C482" s="85"/>
      <c r="D482" s="94"/>
      <c r="E482" s="93"/>
      <c r="F482" s="238"/>
      <c r="G482" s="200"/>
      <c r="H482" s="239">
        <f t="shared" si="30"/>
        <v>0</v>
      </c>
      <c r="I482" s="84"/>
      <c r="J482" s="84"/>
      <c r="K482" s="84"/>
      <c r="L482" s="84"/>
      <c r="M482" s="84"/>
      <c r="N482" s="84"/>
    </row>
    <row r="483" spans="1:14" ht="18">
      <c r="A483" s="83"/>
      <c r="B483" s="84"/>
      <c r="C483" s="85"/>
      <c r="D483" s="94"/>
      <c r="E483" s="93"/>
      <c r="F483" s="238"/>
      <c r="G483" s="200"/>
      <c r="H483" s="239">
        <f t="shared" si="30"/>
        <v>0</v>
      </c>
      <c r="I483" s="84"/>
      <c r="J483" s="84"/>
      <c r="K483" s="84"/>
      <c r="L483" s="84"/>
      <c r="M483" s="84"/>
      <c r="N483" s="84"/>
    </row>
    <row r="484" spans="1:14" ht="18">
      <c r="A484" s="95" t="s">
        <v>141</v>
      </c>
      <c r="B484" s="96" t="s">
        <v>142</v>
      </c>
      <c r="C484" s="97">
        <f>SUM(C485:C488)</f>
        <v>197000</v>
      </c>
      <c r="D484" s="98">
        <f>SUM(D485:D488)</f>
        <v>254400</v>
      </c>
      <c r="E484" s="93">
        <f t="shared" si="31"/>
        <v>57400</v>
      </c>
      <c r="F484" s="238">
        <f t="shared" si="32"/>
        <v>129.13705583756345</v>
      </c>
      <c r="G484" s="200"/>
      <c r="H484" s="239">
        <f t="shared" si="30"/>
        <v>0</v>
      </c>
      <c r="I484" s="84"/>
      <c r="J484" s="84"/>
      <c r="K484" s="84"/>
      <c r="L484" s="84"/>
      <c r="M484" s="84"/>
      <c r="N484" s="84"/>
    </row>
    <row r="485" spans="1:14" ht="18">
      <c r="A485" s="83" t="s">
        <v>34</v>
      </c>
      <c r="B485" s="84" t="s">
        <v>35</v>
      </c>
      <c r="C485" s="85">
        <v>500</v>
      </c>
      <c r="D485" s="85">
        <v>500</v>
      </c>
      <c r="E485" s="93">
        <f t="shared" si="31"/>
        <v>0</v>
      </c>
      <c r="F485" s="238">
        <f t="shared" si="32"/>
        <v>100</v>
      </c>
      <c r="G485" s="200"/>
      <c r="H485" s="239">
        <f t="shared" si="30"/>
        <v>500</v>
      </c>
      <c r="I485" s="84"/>
      <c r="J485" s="191">
        <f>D485</f>
        <v>500</v>
      </c>
      <c r="K485" s="84"/>
      <c r="L485" s="84"/>
      <c r="M485" s="84"/>
      <c r="N485" s="84"/>
    </row>
    <row r="486" spans="1:14" ht="18">
      <c r="A486" s="83" t="s">
        <v>68</v>
      </c>
      <c r="B486" s="84" t="s">
        <v>69</v>
      </c>
      <c r="C486" s="85">
        <v>138000</v>
      </c>
      <c r="D486" s="85">
        <v>149500</v>
      </c>
      <c r="E486" s="93">
        <f t="shared" si="31"/>
        <v>11500</v>
      </c>
      <c r="F486" s="238">
        <f t="shared" si="32"/>
        <v>108.33333333333333</v>
      </c>
      <c r="G486" s="200"/>
      <c r="H486" s="239">
        <f t="shared" si="30"/>
        <v>149500</v>
      </c>
      <c r="I486" s="84"/>
      <c r="J486" s="191">
        <f>D486</f>
        <v>149500</v>
      </c>
      <c r="K486" s="84"/>
      <c r="L486" s="84"/>
      <c r="M486" s="84"/>
      <c r="N486" s="84"/>
    </row>
    <row r="487" spans="1:14" ht="18">
      <c r="A487" s="83" t="s">
        <v>16</v>
      </c>
      <c r="B487" s="84" t="s">
        <v>17</v>
      </c>
      <c r="C487" s="85">
        <v>28500</v>
      </c>
      <c r="D487" s="85">
        <f>36400+2000</f>
        <v>38400</v>
      </c>
      <c r="E487" s="93">
        <f t="shared" si="31"/>
        <v>9900</v>
      </c>
      <c r="F487" s="238">
        <f t="shared" si="32"/>
        <v>134.73684210526315</v>
      </c>
      <c r="G487" s="200"/>
      <c r="H487" s="239">
        <f t="shared" si="30"/>
        <v>38400</v>
      </c>
      <c r="I487" s="84"/>
      <c r="J487" s="191">
        <f>D487</f>
        <v>38400</v>
      </c>
      <c r="K487" s="84"/>
      <c r="L487" s="84"/>
      <c r="M487" s="84"/>
      <c r="N487" s="84"/>
    </row>
    <row r="488" spans="1:14" ht="36">
      <c r="A488" s="83" t="s">
        <v>89</v>
      </c>
      <c r="B488" s="84" t="s">
        <v>98</v>
      </c>
      <c r="C488" s="85">
        <v>30000</v>
      </c>
      <c r="D488" s="85">
        <f>60000+6000</f>
        <v>66000</v>
      </c>
      <c r="E488" s="93">
        <f t="shared" si="31"/>
        <v>36000</v>
      </c>
      <c r="F488" s="238">
        <f t="shared" si="32"/>
        <v>220</v>
      </c>
      <c r="G488" s="200" t="s">
        <v>388</v>
      </c>
      <c r="H488" s="239">
        <f t="shared" si="30"/>
        <v>0</v>
      </c>
      <c r="I488" s="191"/>
      <c r="J488" s="191"/>
      <c r="K488" s="191"/>
      <c r="L488" s="191"/>
      <c r="M488" s="191"/>
      <c r="N488" s="191">
        <f>D488</f>
        <v>66000</v>
      </c>
    </row>
    <row r="489" spans="1:14" ht="18">
      <c r="A489" s="95"/>
      <c r="B489" s="96"/>
      <c r="C489" s="97"/>
      <c r="D489" s="98"/>
      <c r="E489" s="93"/>
      <c r="F489" s="238"/>
      <c r="G489" s="200"/>
      <c r="H489" s="239">
        <f t="shared" si="30"/>
        <v>0</v>
      </c>
      <c r="I489" s="84"/>
      <c r="J489" s="84"/>
      <c r="K489" s="84"/>
      <c r="L489" s="84"/>
      <c r="M489" s="84"/>
      <c r="N489" s="84"/>
    </row>
    <row r="490" spans="1:14" ht="18">
      <c r="A490" s="95" t="s">
        <v>143</v>
      </c>
      <c r="B490" s="96" t="s">
        <v>144</v>
      </c>
      <c r="C490" s="97">
        <f>SUM(C491)</f>
        <v>87954</v>
      </c>
      <c r="D490" s="98">
        <f>SUM(D491)</f>
        <v>109161</v>
      </c>
      <c r="E490" s="93">
        <f t="shared" si="31"/>
        <v>21207</v>
      </c>
      <c r="F490" s="238">
        <f t="shared" si="32"/>
        <v>124.1114673579371</v>
      </c>
      <c r="G490" s="200" t="s">
        <v>385</v>
      </c>
      <c r="H490" s="239">
        <f t="shared" si="30"/>
        <v>0</v>
      </c>
      <c r="I490" s="84"/>
      <c r="J490" s="84"/>
      <c r="K490" s="84"/>
      <c r="L490" s="84"/>
      <c r="M490" s="84"/>
      <c r="N490" s="84"/>
    </row>
    <row r="491" spans="1:14" ht="18">
      <c r="A491" s="83" t="s">
        <v>145</v>
      </c>
      <c r="B491" s="84" t="s">
        <v>146</v>
      </c>
      <c r="C491" s="85">
        <v>87954</v>
      </c>
      <c r="D491" s="94">
        <v>109161</v>
      </c>
      <c r="E491" s="93">
        <f t="shared" si="31"/>
        <v>21207</v>
      </c>
      <c r="F491" s="238">
        <f t="shared" si="32"/>
        <v>124.1114673579371</v>
      </c>
      <c r="G491" s="200" t="s">
        <v>386</v>
      </c>
      <c r="H491" s="239">
        <f t="shared" si="30"/>
        <v>109161</v>
      </c>
      <c r="I491" s="84"/>
      <c r="J491" s="84"/>
      <c r="K491" s="191">
        <f>D491</f>
        <v>109161</v>
      </c>
      <c r="L491" s="84"/>
      <c r="M491" s="84"/>
      <c r="N491" s="84"/>
    </row>
    <row r="492" spans="1:14" ht="18">
      <c r="A492" s="83"/>
      <c r="B492" s="84" t="s">
        <v>147</v>
      </c>
      <c r="C492" s="85"/>
      <c r="D492" s="94"/>
      <c r="E492" s="93"/>
      <c r="F492" s="238"/>
      <c r="G492" s="200"/>
      <c r="H492" s="239">
        <f t="shared" si="30"/>
        <v>0</v>
      </c>
      <c r="I492" s="84"/>
      <c r="J492" s="84"/>
      <c r="K492" s="84"/>
      <c r="L492" s="84"/>
      <c r="M492" s="84"/>
      <c r="N492" s="84"/>
    </row>
    <row r="493" spans="1:14" ht="18">
      <c r="A493" s="83"/>
      <c r="B493" s="84"/>
      <c r="C493" s="85"/>
      <c r="D493" s="94"/>
      <c r="E493" s="93"/>
      <c r="F493" s="238"/>
      <c r="G493" s="200"/>
      <c r="H493" s="239">
        <f t="shared" si="30"/>
        <v>0</v>
      </c>
      <c r="I493" s="84"/>
      <c r="J493" s="84"/>
      <c r="K493" s="84"/>
      <c r="L493" s="84"/>
      <c r="M493" s="84"/>
      <c r="N493" s="84"/>
    </row>
    <row r="494" spans="1:14" ht="18">
      <c r="A494" s="95" t="s">
        <v>190</v>
      </c>
      <c r="B494" s="96" t="s">
        <v>191</v>
      </c>
      <c r="C494" s="97">
        <f>SUM(C496:C497)</f>
        <v>1500</v>
      </c>
      <c r="D494" s="98">
        <f>SUM(D496:D497)</f>
        <v>1500</v>
      </c>
      <c r="E494" s="93">
        <f t="shared" si="31"/>
        <v>0</v>
      </c>
      <c r="F494" s="238">
        <f t="shared" si="32"/>
        <v>100</v>
      </c>
      <c r="G494" s="200"/>
      <c r="H494" s="239">
        <f t="shared" si="30"/>
        <v>0</v>
      </c>
      <c r="I494" s="84"/>
      <c r="J494" s="84"/>
      <c r="K494" s="84"/>
      <c r="L494" s="84"/>
      <c r="M494" s="84"/>
      <c r="N494" s="84"/>
    </row>
    <row r="495" spans="1:14" ht="18">
      <c r="A495" s="83"/>
      <c r="B495" s="96" t="s">
        <v>192</v>
      </c>
      <c r="C495" s="85"/>
      <c r="D495" s="94"/>
      <c r="E495" s="93"/>
      <c r="F495" s="238"/>
      <c r="G495" s="200"/>
      <c r="H495" s="239">
        <f t="shared" si="30"/>
        <v>0</v>
      </c>
      <c r="I495" s="84"/>
      <c r="J495" s="84"/>
      <c r="K495" s="84"/>
      <c r="L495" s="84"/>
      <c r="M495" s="84"/>
      <c r="N495" s="84"/>
    </row>
    <row r="496" spans="1:14" ht="18">
      <c r="A496" s="83" t="s">
        <v>34</v>
      </c>
      <c r="B496" s="84" t="s">
        <v>35</v>
      </c>
      <c r="C496" s="85">
        <v>1300</v>
      </c>
      <c r="D496" s="94">
        <v>1300</v>
      </c>
      <c r="E496" s="93">
        <f t="shared" si="31"/>
        <v>0</v>
      </c>
      <c r="F496" s="238">
        <f t="shared" si="32"/>
        <v>100</v>
      </c>
      <c r="G496" s="200"/>
      <c r="H496" s="239">
        <f t="shared" si="30"/>
        <v>1300</v>
      </c>
      <c r="I496" s="84"/>
      <c r="J496" s="191">
        <f>D496</f>
        <v>1300</v>
      </c>
      <c r="K496" s="84"/>
      <c r="L496" s="84"/>
      <c r="M496" s="84"/>
      <c r="N496" s="84"/>
    </row>
    <row r="497" spans="1:14" ht="18">
      <c r="A497" s="83" t="s">
        <v>16</v>
      </c>
      <c r="B497" s="84" t="s">
        <v>17</v>
      </c>
      <c r="C497" s="85">
        <v>200</v>
      </c>
      <c r="D497" s="94">
        <v>200</v>
      </c>
      <c r="E497" s="93">
        <f t="shared" si="31"/>
        <v>0</v>
      </c>
      <c r="F497" s="238">
        <f t="shared" si="32"/>
        <v>100</v>
      </c>
      <c r="G497" s="200"/>
      <c r="H497" s="239">
        <f t="shared" si="30"/>
        <v>200</v>
      </c>
      <c r="I497" s="84"/>
      <c r="J497" s="191">
        <f>D497</f>
        <v>200</v>
      </c>
      <c r="K497" s="84"/>
      <c r="L497" s="84"/>
      <c r="M497" s="84"/>
      <c r="N497" s="84"/>
    </row>
    <row r="498" spans="1:14" ht="18">
      <c r="A498" s="83"/>
      <c r="B498" s="84"/>
      <c r="C498" s="85"/>
      <c r="D498" s="94"/>
      <c r="E498" s="93"/>
      <c r="F498" s="238"/>
      <c r="G498" s="200"/>
      <c r="H498" s="239">
        <f t="shared" si="30"/>
        <v>0</v>
      </c>
      <c r="I498" s="84"/>
      <c r="J498" s="84"/>
      <c r="K498" s="84"/>
      <c r="L498" s="84"/>
      <c r="M498" s="84"/>
      <c r="N498" s="84"/>
    </row>
    <row r="499" spans="1:14" ht="18">
      <c r="A499" s="95" t="s">
        <v>148</v>
      </c>
      <c r="B499" s="96" t="s">
        <v>15</v>
      </c>
      <c r="C499" s="97">
        <f>SUM(C500:C508)</f>
        <v>110600</v>
      </c>
      <c r="D499" s="98">
        <f>SUM(D500:D508)</f>
        <v>110600</v>
      </c>
      <c r="E499" s="93">
        <f t="shared" si="31"/>
        <v>0</v>
      </c>
      <c r="F499" s="238">
        <f t="shared" si="32"/>
        <v>100</v>
      </c>
      <c r="G499" s="200"/>
      <c r="H499" s="239">
        <f t="shared" si="30"/>
        <v>0</v>
      </c>
      <c r="I499" s="84"/>
      <c r="J499" s="84"/>
      <c r="K499" s="84"/>
      <c r="L499" s="84"/>
      <c r="M499" s="84"/>
      <c r="N499" s="84"/>
    </row>
    <row r="500" spans="1:14" ht="18">
      <c r="A500" s="83" t="s">
        <v>26</v>
      </c>
      <c r="B500" s="84" t="s">
        <v>27</v>
      </c>
      <c r="C500" s="97">
        <v>0</v>
      </c>
      <c r="D500" s="97">
        <v>0</v>
      </c>
      <c r="E500" s="93">
        <f t="shared" si="31"/>
        <v>0</v>
      </c>
      <c r="F500" s="238" t="e">
        <f t="shared" si="32"/>
        <v>#DIV/0!</v>
      </c>
      <c r="G500" s="200"/>
      <c r="H500" s="239">
        <f t="shared" si="30"/>
        <v>0</v>
      </c>
      <c r="I500" s="191">
        <f>D500</f>
        <v>0</v>
      </c>
      <c r="J500" s="84"/>
      <c r="K500" s="84"/>
      <c r="L500" s="84"/>
      <c r="M500" s="84"/>
      <c r="N500" s="84"/>
    </row>
    <row r="501" spans="1:14" ht="18">
      <c r="A501" s="83" t="s">
        <v>28</v>
      </c>
      <c r="B501" s="84" t="s">
        <v>29</v>
      </c>
      <c r="C501" s="97">
        <v>0</v>
      </c>
      <c r="D501" s="97">
        <v>0</v>
      </c>
      <c r="E501" s="93">
        <f t="shared" si="31"/>
        <v>0</v>
      </c>
      <c r="F501" s="238" t="e">
        <f t="shared" si="32"/>
        <v>#DIV/0!</v>
      </c>
      <c r="G501" s="200"/>
      <c r="H501" s="239">
        <f t="shared" si="30"/>
        <v>0</v>
      </c>
      <c r="I501" s="191">
        <f>D501</f>
        <v>0</v>
      </c>
      <c r="J501" s="84"/>
      <c r="K501" s="84"/>
      <c r="L501" s="84"/>
      <c r="M501" s="84"/>
      <c r="N501" s="84"/>
    </row>
    <row r="502" spans="1:14" ht="18">
      <c r="A502" s="83" t="s">
        <v>32</v>
      </c>
      <c r="B502" s="84" t="s">
        <v>33</v>
      </c>
      <c r="C502" s="85">
        <v>500</v>
      </c>
      <c r="D502" s="85">
        <v>1000</v>
      </c>
      <c r="E502" s="93">
        <f t="shared" si="31"/>
        <v>500</v>
      </c>
      <c r="F502" s="238">
        <f t="shared" si="32"/>
        <v>200</v>
      </c>
      <c r="G502" s="200"/>
      <c r="H502" s="239">
        <f t="shared" si="30"/>
        <v>1000</v>
      </c>
      <c r="I502" s="191">
        <f>D502</f>
        <v>1000</v>
      </c>
      <c r="J502" s="84"/>
      <c r="K502" s="84"/>
      <c r="L502" s="84"/>
      <c r="M502" s="84"/>
      <c r="N502" s="84"/>
    </row>
    <row r="503" spans="1:14" ht="18">
      <c r="A503" s="83" t="s">
        <v>34</v>
      </c>
      <c r="B503" s="84" t="s">
        <v>35</v>
      </c>
      <c r="C503" s="85">
        <v>3000</v>
      </c>
      <c r="D503" s="85">
        <v>2500</v>
      </c>
      <c r="E503" s="93">
        <f t="shared" si="31"/>
        <v>-500</v>
      </c>
      <c r="F503" s="238">
        <f t="shared" si="32"/>
        <v>83.33333333333333</v>
      </c>
      <c r="G503" s="200"/>
      <c r="H503" s="239">
        <f t="shared" si="30"/>
        <v>2500</v>
      </c>
      <c r="I503" s="84"/>
      <c r="J503" s="191">
        <f>D503</f>
        <v>2500</v>
      </c>
      <c r="K503" s="84"/>
      <c r="L503" s="84"/>
      <c r="M503" s="84"/>
      <c r="N503" s="84"/>
    </row>
    <row r="504" spans="1:14" ht="18">
      <c r="A504" s="83" t="s">
        <v>68</v>
      </c>
      <c r="B504" s="84" t="s">
        <v>69</v>
      </c>
      <c r="C504" s="85">
        <v>5000</v>
      </c>
      <c r="D504" s="85">
        <v>5000</v>
      </c>
      <c r="E504" s="93">
        <f t="shared" si="31"/>
        <v>0</v>
      </c>
      <c r="F504" s="238">
        <f t="shared" si="32"/>
        <v>100</v>
      </c>
      <c r="G504" s="200"/>
      <c r="H504" s="239">
        <f t="shared" si="30"/>
        <v>5000</v>
      </c>
      <c r="I504" s="84"/>
      <c r="J504" s="191">
        <f>D504</f>
        <v>5000</v>
      </c>
      <c r="K504" s="84"/>
      <c r="L504" s="84"/>
      <c r="M504" s="84"/>
      <c r="N504" s="84"/>
    </row>
    <row r="505" spans="1:14" ht="18">
      <c r="A505" s="83" t="s">
        <v>44</v>
      </c>
      <c r="B505" s="84" t="s">
        <v>45</v>
      </c>
      <c r="C505" s="85">
        <v>100</v>
      </c>
      <c r="D505" s="85">
        <v>100</v>
      </c>
      <c r="E505" s="93">
        <f t="shared" si="31"/>
        <v>0</v>
      </c>
      <c r="F505" s="238">
        <f t="shared" si="32"/>
        <v>100</v>
      </c>
      <c r="G505" s="200"/>
      <c r="H505" s="239">
        <f t="shared" si="30"/>
        <v>100</v>
      </c>
      <c r="I505" s="84"/>
      <c r="J505" s="191">
        <f>D505</f>
        <v>100</v>
      </c>
      <c r="K505" s="84"/>
      <c r="L505" s="84"/>
      <c r="M505" s="84"/>
      <c r="N505" s="84"/>
    </row>
    <row r="506" spans="1:14" ht="18">
      <c r="A506" s="83" t="s">
        <v>16</v>
      </c>
      <c r="B506" s="84" t="s">
        <v>17</v>
      </c>
      <c r="C506" s="85">
        <v>2000</v>
      </c>
      <c r="D506" s="85">
        <v>2000</v>
      </c>
      <c r="E506" s="93">
        <f t="shared" si="31"/>
        <v>0</v>
      </c>
      <c r="F506" s="238">
        <f t="shared" si="32"/>
        <v>100</v>
      </c>
      <c r="G506" s="200"/>
      <c r="H506" s="239">
        <f t="shared" si="30"/>
        <v>2000</v>
      </c>
      <c r="I506" s="84"/>
      <c r="J506" s="191">
        <f>D506</f>
        <v>2000</v>
      </c>
      <c r="K506" s="84"/>
      <c r="L506" s="84"/>
      <c r="M506" s="84"/>
      <c r="N506" s="84"/>
    </row>
    <row r="507" spans="1:14" ht="18">
      <c r="A507" s="83" t="s">
        <v>89</v>
      </c>
      <c r="B507" s="84" t="s">
        <v>98</v>
      </c>
      <c r="C507" s="85">
        <v>100000</v>
      </c>
      <c r="D507" s="85">
        <v>100000</v>
      </c>
      <c r="E507" s="93">
        <f t="shared" si="31"/>
        <v>0</v>
      </c>
      <c r="F507" s="238">
        <f t="shared" si="32"/>
        <v>100</v>
      </c>
      <c r="G507" s="200" t="s">
        <v>439</v>
      </c>
      <c r="H507" s="239">
        <f t="shared" si="30"/>
        <v>0</v>
      </c>
      <c r="I507" s="191"/>
      <c r="J507" s="191"/>
      <c r="K507" s="191"/>
      <c r="L507" s="191"/>
      <c r="M507" s="191"/>
      <c r="N507" s="191">
        <f>D507</f>
        <v>100000</v>
      </c>
    </row>
    <row r="508" spans="1:14" ht="18">
      <c r="A508" s="99"/>
      <c r="B508" s="100"/>
      <c r="C508" s="101"/>
      <c r="D508" s="102"/>
      <c r="E508" s="93"/>
      <c r="F508" s="238"/>
      <c r="G508" s="200"/>
      <c r="H508" s="239">
        <f t="shared" si="30"/>
        <v>0</v>
      </c>
      <c r="I508" s="84"/>
      <c r="J508" s="84"/>
      <c r="K508" s="84"/>
      <c r="L508" s="84"/>
      <c r="M508" s="84"/>
      <c r="N508" s="84"/>
    </row>
    <row r="509" spans="1:14" ht="18">
      <c r="A509" s="95" t="s">
        <v>149</v>
      </c>
      <c r="B509" s="96" t="s">
        <v>150</v>
      </c>
      <c r="C509" s="97">
        <f>SUM(C511+C518+C522)</f>
        <v>950000</v>
      </c>
      <c r="D509" s="98">
        <f>SUM(D511+D518+D522)</f>
        <v>1411083</v>
      </c>
      <c r="E509" s="93">
        <f t="shared" si="31"/>
        <v>461083</v>
      </c>
      <c r="F509" s="238">
        <f t="shared" si="32"/>
        <v>148.53505263157894</v>
      </c>
      <c r="G509" s="200"/>
      <c r="H509" s="239">
        <f t="shared" si="30"/>
        <v>0</v>
      </c>
      <c r="I509" s="84"/>
      <c r="J509" s="84"/>
      <c r="K509" s="84"/>
      <c r="L509" s="84"/>
      <c r="M509" s="84"/>
      <c r="N509" s="84"/>
    </row>
    <row r="510" spans="1:14" ht="18">
      <c r="A510" s="83"/>
      <c r="B510" s="84"/>
      <c r="C510" s="85"/>
      <c r="D510" s="94"/>
      <c r="E510" s="93"/>
      <c r="F510" s="238"/>
      <c r="G510" s="200"/>
      <c r="H510" s="239">
        <f t="shared" si="30"/>
        <v>0</v>
      </c>
      <c r="I510" s="84"/>
      <c r="J510" s="84"/>
      <c r="K510" s="84"/>
      <c r="L510" s="84"/>
      <c r="M510" s="84"/>
      <c r="N510" s="84"/>
    </row>
    <row r="511" spans="1:14" ht="18">
      <c r="A511" s="95" t="s">
        <v>151</v>
      </c>
      <c r="B511" s="96" t="s">
        <v>152</v>
      </c>
      <c r="C511" s="97">
        <f>SUM(C512:C516)</f>
        <v>750000</v>
      </c>
      <c r="D511" s="97">
        <f>SUM(D512:D516)</f>
        <v>1137083</v>
      </c>
      <c r="E511" s="93">
        <f t="shared" si="31"/>
        <v>387083</v>
      </c>
      <c r="F511" s="238">
        <f t="shared" si="32"/>
        <v>151.61106666666666</v>
      </c>
      <c r="G511" s="200"/>
      <c r="H511" s="239">
        <f t="shared" si="30"/>
        <v>0</v>
      </c>
      <c r="I511" s="84"/>
      <c r="J511" s="84"/>
      <c r="K511" s="84"/>
      <c r="L511" s="84"/>
      <c r="M511" s="84"/>
      <c r="N511" s="84"/>
    </row>
    <row r="512" spans="1:14" ht="18">
      <c r="A512" s="83" t="s">
        <v>153</v>
      </c>
      <c r="B512" s="84" t="s">
        <v>154</v>
      </c>
      <c r="C512" s="85">
        <v>250000</v>
      </c>
      <c r="D512" s="94">
        <v>290000</v>
      </c>
      <c r="E512" s="93">
        <f t="shared" si="31"/>
        <v>40000</v>
      </c>
      <c r="F512" s="238">
        <f t="shared" si="32"/>
        <v>116</v>
      </c>
      <c r="G512" s="200"/>
      <c r="H512" s="239">
        <f t="shared" si="30"/>
        <v>290000</v>
      </c>
      <c r="I512" s="84"/>
      <c r="J512" s="84"/>
      <c r="K512" s="191">
        <f>D512</f>
        <v>290000</v>
      </c>
      <c r="L512" s="84"/>
      <c r="M512" s="84"/>
      <c r="N512" s="84"/>
    </row>
    <row r="513" spans="1:14" ht="18">
      <c r="A513" s="83"/>
      <c r="B513" s="84" t="s">
        <v>155</v>
      </c>
      <c r="C513" s="85"/>
      <c r="D513" s="94"/>
      <c r="E513" s="93"/>
      <c r="F513" s="238"/>
      <c r="G513" s="200"/>
      <c r="H513" s="239">
        <f t="shared" si="30"/>
        <v>0</v>
      </c>
      <c r="I513" s="84"/>
      <c r="J513" s="84"/>
      <c r="K513" s="84"/>
      <c r="L513" s="84"/>
      <c r="M513" s="84"/>
      <c r="N513" s="84"/>
    </row>
    <row r="514" spans="1:14" ht="18">
      <c r="A514" s="83" t="s">
        <v>89</v>
      </c>
      <c r="B514" s="84" t="s">
        <v>98</v>
      </c>
      <c r="C514" s="85">
        <v>500000</v>
      </c>
      <c r="D514" s="94">
        <v>147083</v>
      </c>
      <c r="E514" s="93">
        <f t="shared" si="31"/>
        <v>-352917</v>
      </c>
      <c r="F514" s="238">
        <f t="shared" si="32"/>
        <v>29.4166</v>
      </c>
      <c r="G514" s="200" t="s">
        <v>354</v>
      </c>
      <c r="H514" s="239">
        <f t="shared" si="30"/>
        <v>0</v>
      </c>
      <c r="I514" s="191"/>
      <c r="J514" s="191"/>
      <c r="K514" s="191"/>
      <c r="L514" s="191"/>
      <c r="M514" s="191"/>
      <c r="N514" s="191">
        <f>D514</f>
        <v>147083</v>
      </c>
    </row>
    <row r="515" spans="1:14" ht="18">
      <c r="A515" s="83" t="s">
        <v>202</v>
      </c>
      <c r="B515" s="84" t="s">
        <v>98</v>
      </c>
      <c r="C515" s="85">
        <v>0</v>
      </c>
      <c r="D515" s="94">
        <v>197692</v>
      </c>
      <c r="E515" s="93">
        <f>D515-C515</f>
        <v>197692</v>
      </c>
      <c r="F515" s="238" t="e">
        <f>D515*100/C515</f>
        <v>#DIV/0!</v>
      </c>
      <c r="G515" s="200"/>
      <c r="H515" s="239">
        <f t="shared" si="30"/>
        <v>0</v>
      </c>
      <c r="I515" s="191"/>
      <c r="J515" s="191"/>
      <c r="K515" s="191"/>
      <c r="L515" s="191"/>
      <c r="M515" s="191"/>
      <c r="N515" s="191">
        <f>D515</f>
        <v>197692</v>
      </c>
    </row>
    <row r="516" spans="1:14" ht="18">
      <c r="A516" s="83" t="s">
        <v>203</v>
      </c>
      <c r="B516" s="84" t="s">
        <v>98</v>
      </c>
      <c r="C516" s="85"/>
      <c r="D516" s="94">
        <v>502308</v>
      </c>
      <c r="E516" s="93"/>
      <c r="F516" s="238"/>
      <c r="G516" s="200"/>
      <c r="H516" s="239"/>
      <c r="I516" s="191"/>
      <c r="J516" s="191"/>
      <c r="K516" s="191"/>
      <c r="L516" s="191"/>
      <c r="M516" s="191"/>
      <c r="N516" s="191"/>
    </row>
    <row r="517" spans="1:14" ht="18">
      <c r="A517" s="95"/>
      <c r="B517" s="96"/>
      <c r="C517" s="97"/>
      <c r="D517" s="98"/>
      <c r="E517" s="93"/>
      <c r="F517" s="238"/>
      <c r="G517" s="200"/>
      <c r="H517" s="239">
        <f t="shared" si="30"/>
        <v>0</v>
      </c>
      <c r="I517" s="84"/>
      <c r="J517" s="84"/>
      <c r="K517" s="84"/>
      <c r="L517" s="84"/>
      <c r="M517" s="84"/>
      <c r="N517" s="84"/>
    </row>
    <row r="518" spans="1:14" ht="18">
      <c r="A518" s="95" t="s">
        <v>156</v>
      </c>
      <c r="B518" s="96" t="s">
        <v>157</v>
      </c>
      <c r="C518" s="97">
        <f>SUM(C519)</f>
        <v>180000</v>
      </c>
      <c r="D518" s="98">
        <f>SUM(D519)</f>
        <v>199000</v>
      </c>
      <c r="E518" s="93">
        <f t="shared" si="31"/>
        <v>19000</v>
      </c>
      <c r="F518" s="238">
        <f t="shared" si="32"/>
        <v>110.55555555555556</v>
      </c>
      <c r="G518" s="200"/>
      <c r="H518" s="239">
        <f t="shared" si="30"/>
        <v>0</v>
      </c>
      <c r="I518" s="84"/>
      <c r="J518" s="84"/>
      <c r="K518" s="84"/>
      <c r="L518" s="84"/>
      <c r="M518" s="84"/>
      <c r="N518" s="84"/>
    </row>
    <row r="519" spans="1:14" ht="18">
      <c r="A519" s="83" t="s">
        <v>153</v>
      </c>
      <c r="B519" s="84" t="s">
        <v>154</v>
      </c>
      <c r="C519" s="85">
        <v>180000</v>
      </c>
      <c r="D519" s="94">
        <v>199000</v>
      </c>
      <c r="E519" s="93">
        <f t="shared" si="31"/>
        <v>19000</v>
      </c>
      <c r="F519" s="238">
        <f t="shared" si="32"/>
        <v>110.55555555555556</v>
      </c>
      <c r="G519" s="200"/>
      <c r="H519" s="239">
        <f t="shared" si="30"/>
        <v>199000</v>
      </c>
      <c r="I519" s="84"/>
      <c r="J519" s="84"/>
      <c r="K519" s="191">
        <f>D519</f>
        <v>199000</v>
      </c>
      <c r="L519" s="84"/>
      <c r="M519" s="84"/>
      <c r="N519" s="84"/>
    </row>
    <row r="520" spans="1:14" ht="18">
      <c r="A520" s="83"/>
      <c r="B520" s="84" t="s">
        <v>158</v>
      </c>
      <c r="C520" s="85"/>
      <c r="D520" s="94"/>
      <c r="E520" s="93"/>
      <c r="F520" s="238"/>
      <c r="G520" s="200"/>
      <c r="H520" s="239">
        <f t="shared" si="30"/>
        <v>0</v>
      </c>
      <c r="I520" s="84"/>
      <c r="J520" s="84"/>
      <c r="K520" s="84"/>
      <c r="L520" s="84"/>
      <c r="M520" s="84"/>
      <c r="N520" s="84"/>
    </row>
    <row r="521" spans="1:14" ht="18">
      <c r="A521" s="83"/>
      <c r="B521" s="84"/>
      <c r="C521" s="85"/>
      <c r="D521" s="94"/>
      <c r="E521" s="93"/>
      <c r="F521" s="238"/>
      <c r="G521" s="200"/>
      <c r="H521" s="239">
        <f t="shared" si="30"/>
        <v>0</v>
      </c>
      <c r="I521" s="84"/>
      <c r="J521" s="84"/>
      <c r="K521" s="84"/>
      <c r="L521" s="84"/>
      <c r="M521" s="84"/>
      <c r="N521" s="84"/>
    </row>
    <row r="522" spans="1:14" ht="18">
      <c r="A522" s="95" t="s">
        <v>193</v>
      </c>
      <c r="B522" s="96" t="s">
        <v>194</v>
      </c>
      <c r="C522" s="97">
        <f>SUM(C523:C527)</f>
        <v>20000</v>
      </c>
      <c r="D522" s="98">
        <f>SUM(D523:D527)</f>
        <v>75000</v>
      </c>
      <c r="E522" s="93">
        <f t="shared" si="31"/>
        <v>55000</v>
      </c>
      <c r="F522" s="238">
        <f t="shared" si="32"/>
        <v>375</v>
      </c>
      <c r="G522" s="200"/>
      <c r="H522" s="239">
        <f aca="true" t="shared" si="33" ref="H522:H537">SUM(I522:M522)</f>
        <v>0</v>
      </c>
      <c r="I522" s="84"/>
      <c r="J522" s="84"/>
      <c r="K522" s="84"/>
      <c r="L522" s="84"/>
      <c r="M522" s="84"/>
      <c r="N522" s="84"/>
    </row>
    <row r="523" spans="1:14" ht="18">
      <c r="A523" s="103" t="s">
        <v>195</v>
      </c>
      <c r="B523" s="104" t="s">
        <v>263</v>
      </c>
      <c r="C523" s="105">
        <v>0</v>
      </c>
      <c r="D523" s="195">
        <v>0</v>
      </c>
      <c r="E523" s="93">
        <f t="shared" si="31"/>
        <v>0</v>
      </c>
      <c r="F523" s="238" t="e">
        <f t="shared" si="32"/>
        <v>#DIV/0!</v>
      </c>
      <c r="G523" s="200" t="s">
        <v>361</v>
      </c>
      <c r="H523" s="239">
        <f t="shared" si="33"/>
        <v>0</v>
      </c>
      <c r="I523" s="84"/>
      <c r="J523" s="84"/>
      <c r="K523" s="191">
        <f>D523</f>
        <v>0</v>
      </c>
      <c r="L523" s="84"/>
      <c r="M523" s="84"/>
      <c r="N523" s="84"/>
    </row>
    <row r="524" spans="1:14" ht="18">
      <c r="A524" s="103"/>
      <c r="B524" s="104" t="s">
        <v>196</v>
      </c>
      <c r="C524" s="105"/>
      <c r="D524" s="195"/>
      <c r="E524" s="93"/>
      <c r="F524" s="238"/>
      <c r="G524" s="200"/>
      <c r="H524" s="239">
        <f t="shared" si="33"/>
        <v>0</v>
      </c>
      <c r="I524" s="84"/>
      <c r="J524" s="84"/>
      <c r="K524" s="84"/>
      <c r="L524" s="84"/>
      <c r="M524" s="84"/>
      <c r="N524" s="84"/>
    </row>
    <row r="525" spans="1:14" ht="18">
      <c r="A525" s="103"/>
      <c r="B525" s="104" t="s">
        <v>264</v>
      </c>
      <c r="C525" s="105"/>
      <c r="D525" s="195"/>
      <c r="E525" s="93"/>
      <c r="F525" s="238"/>
      <c r="G525" s="200"/>
      <c r="H525" s="239">
        <f t="shared" si="33"/>
        <v>0</v>
      </c>
      <c r="I525" s="84"/>
      <c r="J525" s="84"/>
      <c r="K525" s="84"/>
      <c r="L525" s="84"/>
      <c r="M525" s="84"/>
      <c r="N525" s="84"/>
    </row>
    <row r="526" spans="1:14" ht="18">
      <c r="A526" s="103"/>
      <c r="B526" s="104" t="s">
        <v>207</v>
      </c>
      <c r="C526" s="105"/>
      <c r="D526" s="195"/>
      <c r="E526" s="93"/>
      <c r="F526" s="238"/>
      <c r="G526" s="200"/>
      <c r="H526" s="239">
        <f t="shared" si="33"/>
        <v>0</v>
      </c>
      <c r="I526" s="84"/>
      <c r="J526" s="84"/>
      <c r="K526" s="84"/>
      <c r="L526" s="84"/>
      <c r="M526" s="84"/>
      <c r="N526" s="84"/>
    </row>
    <row r="527" spans="1:14" ht="18">
      <c r="A527" s="83" t="s">
        <v>16</v>
      </c>
      <c r="B527" s="84" t="s">
        <v>17</v>
      </c>
      <c r="C527" s="85">
        <v>20000</v>
      </c>
      <c r="D527" s="94">
        <f>50000+5000+20000</f>
        <v>75000</v>
      </c>
      <c r="E527" s="93">
        <f t="shared" si="31"/>
        <v>55000</v>
      </c>
      <c r="F527" s="238">
        <f t="shared" si="32"/>
        <v>375</v>
      </c>
      <c r="G527" s="200" t="s">
        <v>534</v>
      </c>
      <c r="H527" s="239">
        <f t="shared" si="33"/>
        <v>75000</v>
      </c>
      <c r="I527" s="84"/>
      <c r="J527" s="191">
        <f>D527</f>
        <v>75000</v>
      </c>
      <c r="K527" s="84"/>
      <c r="L527" s="84"/>
      <c r="M527" s="84"/>
      <c r="N527" s="84"/>
    </row>
    <row r="528" spans="1:14" ht="18">
      <c r="A528" s="83"/>
      <c r="B528" s="84"/>
      <c r="C528" s="85"/>
      <c r="D528" s="94"/>
      <c r="E528" s="93"/>
      <c r="F528" s="238"/>
      <c r="G528" s="200"/>
      <c r="H528" s="239">
        <f t="shared" si="33"/>
        <v>0</v>
      </c>
      <c r="I528" s="84"/>
      <c r="J528" s="84"/>
      <c r="K528" s="84"/>
      <c r="L528" s="84"/>
      <c r="M528" s="84"/>
      <c r="N528" s="84"/>
    </row>
    <row r="529" spans="1:14" ht="18">
      <c r="A529" s="89" t="s">
        <v>159</v>
      </c>
      <c r="B529" s="90" t="s">
        <v>160</v>
      </c>
      <c r="C529" s="91">
        <f>SUM(C534+C531)</f>
        <v>68000</v>
      </c>
      <c r="D529" s="92">
        <f>SUM(D534+D531)</f>
        <v>110000</v>
      </c>
      <c r="E529" s="93">
        <f t="shared" si="31"/>
        <v>42000</v>
      </c>
      <c r="F529" s="238">
        <f t="shared" si="32"/>
        <v>161.76470588235293</v>
      </c>
      <c r="G529" s="200"/>
      <c r="H529" s="239">
        <f t="shared" si="33"/>
        <v>0</v>
      </c>
      <c r="I529" s="84"/>
      <c r="J529" s="84"/>
      <c r="K529" s="84"/>
      <c r="L529" s="84"/>
      <c r="M529" s="84"/>
      <c r="N529" s="84"/>
    </row>
    <row r="530" spans="1:14" ht="18">
      <c r="A530" s="95"/>
      <c r="B530" s="96"/>
      <c r="C530" s="97"/>
      <c r="D530" s="98"/>
      <c r="E530" s="93"/>
      <c r="F530" s="238"/>
      <c r="G530" s="200"/>
      <c r="H530" s="239">
        <f t="shared" si="33"/>
        <v>0</v>
      </c>
      <c r="I530" s="84"/>
      <c r="J530" s="84"/>
      <c r="K530" s="84"/>
      <c r="L530" s="84"/>
      <c r="M530" s="84"/>
      <c r="N530" s="84"/>
    </row>
    <row r="531" spans="1:14" ht="18">
      <c r="A531" s="95" t="s">
        <v>258</v>
      </c>
      <c r="B531" s="96" t="s">
        <v>259</v>
      </c>
      <c r="C531" s="97">
        <f>SUM(C532)</f>
        <v>18000</v>
      </c>
      <c r="D531" s="98">
        <f>SUM(D532)</f>
        <v>50000</v>
      </c>
      <c r="E531" s="93">
        <f t="shared" si="31"/>
        <v>32000</v>
      </c>
      <c r="F531" s="238">
        <f t="shared" si="32"/>
        <v>277.77777777777777</v>
      </c>
      <c r="G531" s="200"/>
      <c r="H531" s="239">
        <f t="shared" si="33"/>
        <v>0</v>
      </c>
      <c r="I531" s="84"/>
      <c r="J531" s="84"/>
      <c r="K531" s="84"/>
      <c r="L531" s="84"/>
      <c r="M531" s="84"/>
      <c r="N531" s="84"/>
    </row>
    <row r="532" spans="1:14" ht="18">
      <c r="A532" s="83" t="s">
        <v>89</v>
      </c>
      <c r="B532" s="84" t="s">
        <v>98</v>
      </c>
      <c r="C532" s="85">
        <v>18000</v>
      </c>
      <c r="D532" s="94">
        <v>50000</v>
      </c>
      <c r="E532" s="93">
        <f t="shared" si="31"/>
        <v>32000</v>
      </c>
      <c r="F532" s="238">
        <f t="shared" si="32"/>
        <v>277.77777777777777</v>
      </c>
      <c r="G532" s="200" t="s">
        <v>440</v>
      </c>
      <c r="H532" s="239">
        <f t="shared" si="33"/>
        <v>0</v>
      </c>
      <c r="I532" s="191"/>
      <c r="J532" s="191"/>
      <c r="K532" s="191"/>
      <c r="L532" s="191"/>
      <c r="M532" s="191"/>
      <c r="N532" s="191">
        <f>D532</f>
        <v>50000</v>
      </c>
    </row>
    <row r="533" spans="1:14" ht="18">
      <c r="A533" s="95"/>
      <c r="B533" s="96"/>
      <c r="C533" s="97"/>
      <c r="D533" s="98"/>
      <c r="E533" s="93"/>
      <c r="F533" s="238"/>
      <c r="G533" s="200"/>
      <c r="H533" s="239">
        <f t="shared" si="33"/>
        <v>0</v>
      </c>
      <c r="I533" s="84"/>
      <c r="J533" s="84"/>
      <c r="K533" s="84"/>
      <c r="L533" s="84"/>
      <c r="M533" s="84"/>
      <c r="N533" s="84"/>
    </row>
    <row r="534" spans="1:14" ht="18">
      <c r="A534" s="95" t="s">
        <v>161</v>
      </c>
      <c r="B534" s="96" t="s">
        <v>15</v>
      </c>
      <c r="C534" s="97">
        <f>SUM(C535)</f>
        <v>50000</v>
      </c>
      <c r="D534" s="98">
        <f>SUM(D535)</f>
        <v>60000</v>
      </c>
      <c r="E534" s="93">
        <f t="shared" si="31"/>
        <v>10000</v>
      </c>
      <c r="F534" s="238">
        <f t="shared" si="32"/>
        <v>120</v>
      </c>
      <c r="G534" s="200"/>
      <c r="H534" s="239">
        <f t="shared" si="33"/>
        <v>0</v>
      </c>
      <c r="I534" s="84"/>
      <c r="J534" s="84"/>
      <c r="K534" s="84"/>
      <c r="L534" s="84"/>
      <c r="M534" s="84"/>
      <c r="N534" s="84"/>
    </row>
    <row r="535" spans="1:14" ht="18">
      <c r="A535" s="83" t="s">
        <v>104</v>
      </c>
      <c r="B535" s="84" t="s">
        <v>105</v>
      </c>
      <c r="C535" s="85">
        <v>50000</v>
      </c>
      <c r="D535" s="94">
        <v>60000</v>
      </c>
      <c r="E535" s="93">
        <f t="shared" si="31"/>
        <v>10000</v>
      </c>
      <c r="F535" s="238">
        <f t="shared" si="32"/>
        <v>120</v>
      </c>
      <c r="G535" s="200" t="s">
        <v>370</v>
      </c>
      <c r="H535" s="239">
        <f t="shared" si="33"/>
        <v>60000</v>
      </c>
      <c r="I535" s="84"/>
      <c r="J535" s="84"/>
      <c r="K535" s="191">
        <f>D535</f>
        <v>60000</v>
      </c>
      <c r="L535" s="84"/>
      <c r="M535" s="84"/>
      <c r="N535" s="84"/>
    </row>
    <row r="536" spans="1:14" ht="18">
      <c r="A536" s="83"/>
      <c r="B536" s="84" t="s">
        <v>162</v>
      </c>
      <c r="C536" s="85"/>
      <c r="D536" s="94"/>
      <c r="E536" s="93"/>
      <c r="F536" s="238"/>
      <c r="G536" s="200"/>
      <c r="H536" s="239">
        <f t="shared" si="33"/>
        <v>0</v>
      </c>
      <c r="I536" s="84"/>
      <c r="J536" s="84"/>
      <c r="K536" s="84"/>
      <c r="L536" s="84"/>
      <c r="M536" s="84"/>
      <c r="N536" s="84"/>
    </row>
    <row r="537" spans="1:14" ht="18">
      <c r="A537" s="99"/>
      <c r="B537" s="100" t="s">
        <v>107</v>
      </c>
      <c r="C537" s="101"/>
      <c r="D537" s="102"/>
      <c r="E537" s="93"/>
      <c r="F537" s="238"/>
      <c r="G537" s="200"/>
      <c r="H537" s="239">
        <f t="shared" si="33"/>
        <v>0</v>
      </c>
      <c r="I537" s="100"/>
      <c r="J537" s="100"/>
      <c r="K537" s="100"/>
      <c r="L537" s="100"/>
      <c r="M537" s="100"/>
      <c r="N537" s="100"/>
    </row>
    <row r="538" spans="1:14" ht="18">
      <c r="A538" s="110"/>
      <c r="B538" s="111" t="s">
        <v>163</v>
      </c>
      <c r="C538" s="112">
        <f>C529+C509+C468+C458+C367+C344+C210+C204+C197+C191+C154+C145+C81+C66+C44+C30+C6+C76</f>
        <v>16196029</v>
      </c>
      <c r="D538" s="112">
        <f>D529+D509+D468+D458+D367+D344+D210+D204+D197+D191+D154+D145+D81+D66+D44+D30+D6+D76</f>
        <v>18644805</v>
      </c>
      <c r="E538" s="93">
        <f t="shared" si="31"/>
        <v>2448776</v>
      </c>
      <c r="F538" s="238">
        <f t="shared" si="32"/>
        <v>115.11960740500032</v>
      </c>
      <c r="G538" s="200"/>
      <c r="H538" s="263">
        <f>SUM(H6:H537)</f>
        <v>13349380</v>
      </c>
      <c r="I538" s="263">
        <f aca="true" t="shared" si="34" ref="I538:N538">SUM(I6:I537)</f>
        <v>6295388</v>
      </c>
      <c r="J538" s="263">
        <f t="shared" si="34"/>
        <v>3123673</v>
      </c>
      <c r="K538" s="263">
        <f t="shared" si="34"/>
        <v>1030661</v>
      </c>
      <c r="L538" s="263">
        <f t="shared" si="34"/>
        <v>2849658</v>
      </c>
      <c r="M538" s="263">
        <f t="shared" si="34"/>
        <v>50000</v>
      </c>
      <c r="N538" s="263">
        <f t="shared" si="34"/>
        <v>4374743</v>
      </c>
    </row>
    <row r="539" spans="1:5" ht="18">
      <c r="A539" s="36"/>
      <c r="C539" s="37"/>
      <c r="D539" s="37"/>
      <c r="E539" s="38"/>
    </row>
    <row r="540" spans="1:5" ht="18">
      <c r="A540" s="36"/>
      <c r="C540" s="37"/>
      <c r="D540" s="37"/>
      <c r="E540" s="38"/>
    </row>
    <row r="541" spans="1:5" ht="18">
      <c r="A541" s="36"/>
      <c r="C541" s="37"/>
      <c r="D541" s="37"/>
      <c r="E541" s="38"/>
    </row>
    <row r="542" spans="1:5" ht="18">
      <c r="A542" s="55"/>
      <c r="B542" s="56"/>
      <c r="C542" s="57"/>
      <c r="D542" s="57"/>
      <c r="E542" s="58"/>
    </row>
    <row r="543" spans="1:5" ht="18">
      <c r="A543" s="23"/>
      <c r="B543" s="24"/>
      <c r="C543" s="25"/>
      <c r="D543" s="25"/>
      <c r="E543" s="27"/>
    </row>
    <row r="544" spans="1:5" ht="18">
      <c r="A544" s="23"/>
      <c r="B544" s="24"/>
      <c r="C544" s="25"/>
      <c r="D544" s="25"/>
      <c r="E544" s="27"/>
    </row>
    <row r="545" spans="1:5" ht="18">
      <c r="A545" s="23"/>
      <c r="B545" s="24"/>
      <c r="C545" s="25"/>
      <c r="D545" s="25"/>
      <c r="E545" s="27"/>
    </row>
    <row r="546" spans="1:5" ht="18">
      <c r="A546" s="23"/>
      <c r="B546" s="24"/>
      <c r="C546" s="25"/>
      <c r="D546" s="25"/>
      <c r="E546" s="27"/>
    </row>
    <row r="547" spans="1:5" ht="18">
      <c r="A547" s="23"/>
      <c r="B547" s="24"/>
      <c r="C547" s="25"/>
      <c r="D547" s="25"/>
      <c r="E547" s="27"/>
    </row>
    <row r="548" spans="1:5" ht="18">
      <c r="A548" s="23"/>
      <c r="B548" s="24"/>
      <c r="C548" s="25"/>
      <c r="D548" s="25"/>
      <c r="E548" s="27"/>
    </row>
    <row r="549" spans="1:5" ht="18">
      <c r="A549" s="36"/>
      <c r="C549" s="37"/>
      <c r="D549" s="37"/>
      <c r="E549" s="38"/>
    </row>
    <row r="550" spans="1:5" ht="18">
      <c r="A550" s="36"/>
      <c r="C550" s="37"/>
      <c r="D550" s="37"/>
      <c r="E550" s="38"/>
    </row>
    <row r="551" spans="1:5" ht="18">
      <c r="A551" s="36"/>
      <c r="C551" s="37"/>
      <c r="D551" s="37"/>
      <c r="E551" s="38"/>
    </row>
    <row r="552" spans="1:5" ht="18">
      <c r="A552" s="36"/>
      <c r="C552" s="37"/>
      <c r="D552" s="37"/>
      <c r="E552" s="38"/>
    </row>
    <row r="553" spans="1:5" ht="18">
      <c r="A553" s="36"/>
      <c r="C553" s="37"/>
      <c r="D553" s="37"/>
      <c r="E553" s="38"/>
    </row>
    <row r="554" spans="1:5" ht="18">
      <c r="A554" s="36"/>
      <c r="C554" s="37"/>
      <c r="D554" s="37"/>
      <c r="E554" s="38"/>
    </row>
    <row r="555" spans="1:5" ht="18">
      <c r="A555" s="36"/>
      <c r="C555" s="37"/>
      <c r="D555" s="37"/>
      <c r="E555" s="38"/>
    </row>
    <row r="556" spans="1:5" ht="18">
      <c r="A556" s="36"/>
      <c r="C556" s="37"/>
      <c r="D556" s="37"/>
      <c r="E556" s="38"/>
    </row>
    <row r="557" spans="1:5" ht="18">
      <c r="A557" s="36"/>
      <c r="C557" s="37"/>
      <c r="D557" s="37"/>
      <c r="E557" s="38"/>
    </row>
    <row r="558" spans="1:5" ht="18">
      <c r="A558" s="36"/>
      <c r="C558" s="37"/>
      <c r="D558" s="37"/>
      <c r="E558" s="38"/>
    </row>
    <row r="559" spans="1:5" ht="18">
      <c r="A559" s="36"/>
      <c r="C559" s="37"/>
      <c r="D559" s="37"/>
      <c r="E559" s="38"/>
    </row>
    <row r="560" spans="1:5" ht="18">
      <c r="A560" s="36"/>
      <c r="C560" s="37"/>
      <c r="D560" s="37"/>
      <c r="E560" s="38"/>
    </row>
    <row r="561" spans="1:5" ht="18">
      <c r="A561" s="36"/>
      <c r="C561" s="37"/>
      <c r="D561" s="37"/>
      <c r="E561" s="38"/>
    </row>
    <row r="562" spans="1:5" ht="18">
      <c r="A562" s="36"/>
      <c r="C562" s="37"/>
      <c r="D562" s="37"/>
      <c r="E562" s="38"/>
    </row>
    <row r="563" spans="1:5" ht="18">
      <c r="A563" s="36"/>
      <c r="C563" s="37"/>
      <c r="D563" s="37"/>
      <c r="E563" s="38"/>
    </row>
    <row r="564" spans="1:5" ht="18">
      <c r="A564" s="36"/>
      <c r="C564" s="37"/>
      <c r="D564" s="37"/>
      <c r="E564" s="38"/>
    </row>
    <row r="565" spans="1:5" ht="18">
      <c r="A565" s="36"/>
      <c r="C565" s="37"/>
      <c r="D565" s="37"/>
      <c r="E565" s="38"/>
    </row>
    <row r="566" spans="1:5" ht="18">
      <c r="A566" s="36"/>
      <c r="C566" s="37"/>
      <c r="D566" s="37"/>
      <c r="E566" s="38"/>
    </row>
    <row r="567" spans="1:5" ht="18">
      <c r="A567" s="36"/>
      <c r="C567" s="37"/>
      <c r="D567" s="37"/>
      <c r="E567" s="38"/>
    </row>
    <row r="568" spans="1:5" ht="18">
      <c r="A568" s="36"/>
      <c r="C568" s="37"/>
      <c r="D568" s="37"/>
      <c r="E568" s="38"/>
    </row>
    <row r="569" spans="1:5" ht="18">
      <c r="A569" s="36"/>
      <c r="C569" s="37"/>
      <c r="D569" s="37"/>
      <c r="E569" s="38"/>
    </row>
    <row r="570" spans="1:5" ht="18">
      <c r="A570" s="36"/>
      <c r="C570" s="37"/>
      <c r="D570" s="37"/>
      <c r="E570" s="38"/>
    </row>
    <row r="571" spans="1:5" ht="18">
      <c r="A571" s="36"/>
      <c r="C571" s="37"/>
      <c r="D571" s="37"/>
      <c r="E571" s="38"/>
    </row>
    <row r="572" spans="1:5" ht="18">
      <c r="A572" s="36"/>
      <c r="C572" s="37"/>
      <c r="D572" s="37"/>
      <c r="E572" s="38"/>
    </row>
    <row r="573" spans="1:5" ht="18">
      <c r="A573" s="36"/>
      <c r="C573" s="37"/>
      <c r="D573" s="37"/>
      <c r="E573" s="38"/>
    </row>
    <row r="574" spans="1:5" ht="18">
      <c r="A574" s="36"/>
      <c r="C574" s="37"/>
      <c r="D574" s="37"/>
      <c r="E574" s="38"/>
    </row>
    <row r="575" spans="1:5" ht="18">
      <c r="A575" s="36"/>
      <c r="C575" s="37"/>
      <c r="D575" s="37"/>
      <c r="E575" s="38"/>
    </row>
    <row r="576" spans="1:5" ht="18">
      <c r="A576" s="36"/>
      <c r="C576" s="37"/>
      <c r="D576" s="37"/>
      <c r="E576" s="38"/>
    </row>
    <row r="577" spans="1:5" ht="18">
      <c r="A577" s="36"/>
      <c r="C577" s="37"/>
      <c r="D577" s="37"/>
      <c r="E577" s="38"/>
    </row>
    <row r="578" spans="1:5" ht="18">
      <c r="A578" s="36"/>
      <c r="C578" s="37"/>
      <c r="D578" s="37"/>
      <c r="E578" s="38"/>
    </row>
    <row r="579" spans="1:5" ht="18">
      <c r="A579" s="36"/>
      <c r="C579" s="37"/>
      <c r="D579" s="37"/>
      <c r="E579" s="38"/>
    </row>
    <row r="580" spans="1:5" ht="18">
      <c r="A580" s="36"/>
      <c r="C580" s="37"/>
      <c r="D580" s="37"/>
      <c r="E580" s="38"/>
    </row>
    <row r="581" spans="1:5" ht="18">
      <c r="A581" s="36"/>
      <c r="C581" s="37"/>
      <c r="D581" s="37"/>
      <c r="E581" s="38"/>
    </row>
    <row r="582" spans="1:5" ht="18">
      <c r="A582" s="36"/>
      <c r="C582" s="37"/>
      <c r="D582" s="37"/>
      <c r="E582" s="38"/>
    </row>
    <row r="583" spans="1:5" ht="18">
      <c r="A583" s="36"/>
      <c r="C583" s="37"/>
      <c r="D583" s="37"/>
      <c r="E583" s="38"/>
    </row>
    <row r="584" spans="1:5" ht="18">
      <c r="A584" s="36"/>
      <c r="C584" s="37"/>
      <c r="D584" s="37"/>
      <c r="E584" s="38"/>
    </row>
    <row r="585" spans="1:5" ht="18">
      <c r="A585" s="36"/>
      <c r="C585" s="37"/>
      <c r="D585" s="37"/>
      <c r="E585" s="38"/>
    </row>
    <row r="586" spans="1:5" ht="18">
      <c r="A586" s="36"/>
      <c r="C586" s="37"/>
      <c r="D586" s="37"/>
      <c r="E586" s="38"/>
    </row>
    <row r="587" spans="1:5" ht="18">
      <c r="A587" s="36"/>
      <c r="C587" s="37"/>
      <c r="D587" s="37"/>
      <c r="E587" s="38"/>
    </row>
    <row r="588" spans="1:5" ht="18">
      <c r="A588" s="36"/>
      <c r="C588" s="37"/>
      <c r="D588" s="37"/>
      <c r="E588" s="38"/>
    </row>
    <row r="589" spans="1:5" ht="18">
      <c r="A589" s="36"/>
      <c r="C589" s="37"/>
      <c r="D589" s="37"/>
      <c r="E589" s="38"/>
    </row>
    <row r="590" spans="1:5" ht="18">
      <c r="A590" s="36"/>
      <c r="C590" s="37"/>
      <c r="D590" s="37"/>
      <c r="E590" s="38"/>
    </row>
    <row r="591" spans="1:5" ht="18">
      <c r="A591" s="36"/>
      <c r="C591" s="37"/>
      <c r="D591" s="37"/>
      <c r="E591" s="38"/>
    </row>
    <row r="592" spans="1:5" ht="18">
      <c r="A592" s="36"/>
      <c r="C592" s="37"/>
      <c r="D592" s="37"/>
      <c r="E592" s="38"/>
    </row>
    <row r="593" spans="1:5" ht="18">
      <c r="A593" s="36"/>
      <c r="C593" s="37"/>
      <c r="D593" s="37"/>
      <c r="E593" s="38"/>
    </row>
    <row r="594" spans="1:5" ht="18">
      <c r="A594" s="36"/>
      <c r="C594" s="37"/>
      <c r="D594" s="37"/>
      <c r="E594" s="38"/>
    </row>
    <row r="595" spans="1:5" ht="18">
      <c r="A595" s="36"/>
      <c r="C595" s="37"/>
      <c r="D595" s="37"/>
      <c r="E595" s="38"/>
    </row>
    <row r="596" spans="1:5" ht="18">
      <c r="A596" s="36"/>
      <c r="C596" s="37"/>
      <c r="D596" s="37"/>
      <c r="E596" s="38"/>
    </row>
    <row r="597" spans="1:5" ht="18">
      <c r="A597" s="36"/>
      <c r="C597" s="37"/>
      <c r="D597" s="37"/>
      <c r="E597" s="38"/>
    </row>
    <row r="598" spans="1:5" ht="18">
      <c r="A598" s="36"/>
      <c r="C598" s="37"/>
      <c r="D598" s="37"/>
      <c r="E598" s="38"/>
    </row>
    <row r="599" spans="1:5" ht="18">
      <c r="A599" s="36"/>
      <c r="C599" s="37"/>
      <c r="D599" s="37"/>
      <c r="E599" s="38"/>
    </row>
    <row r="600" spans="1:5" ht="18">
      <c r="A600" s="36"/>
      <c r="C600" s="37"/>
      <c r="D600" s="37"/>
      <c r="E600" s="38"/>
    </row>
    <row r="601" spans="1:5" ht="18">
      <c r="A601" s="36"/>
      <c r="C601" s="37"/>
      <c r="D601" s="37"/>
      <c r="E601" s="38"/>
    </row>
    <row r="602" spans="1:5" ht="18">
      <c r="A602" s="36"/>
      <c r="C602" s="37"/>
      <c r="D602" s="37"/>
      <c r="E602" s="38"/>
    </row>
    <row r="603" spans="1:5" ht="18">
      <c r="A603" s="36"/>
      <c r="C603" s="37"/>
      <c r="D603" s="37"/>
      <c r="E603" s="38"/>
    </row>
    <row r="604" spans="1:5" ht="18">
      <c r="A604" s="36"/>
      <c r="C604" s="37"/>
      <c r="D604" s="37"/>
      <c r="E604" s="38"/>
    </row>
    <row r="605" spans="1:5" ht="18">
      <c r="A605" s="36"/>
      <c r="C605" s="37"/>
      <c r="D605" s="37"/>
      <c r="E605" s="38"/>
    </row>
    <row r="606" spans="1:5" ht="18">
      <c r="A606" s="36"/>
      <c r="C606" s="37"/>
      <c r="D606" s="37"/>
      <c r="E606" s="38"/>
    </row>
    <row r="607" spans="1:5" ht="18">
      <c r="A607" s="36"/>
      <c r="C607" s="37"/>
      <c r="D607" s="37"/>
      <c r="E607" s="38"/>
    </row>
    <row r="608" spans="1:5" ht="18">
      <c r="A608" s="36"/>
      <c r="C608" s="37"/>
      <c r="D608" s="37"/>
      <c r="E608" s="38"/>
    </row>
    <row r="609" spans="1:5" ht="18">
      <c r="A609" s="36"/>
      <c r="C609" s="37"/>
      <c r="D609" s="37"/>
      <c r="E609" s="38"/>
    </row>
    <row r="610" spans="1:5" ht="18">
      <c r="A610" s="36"/>
      <c r="C610" s="37"/>
      <c r="D610" s="37"/>
      <c r="E610" s="38"/>
    </row>
    <row r="611" spans="1:5" ht="18">
      <c r="A611" s="36"/>
      <c r="C611" s="37"/>
      <c r="D611" s="37"/>
      <c r="E611" s="38"/>
    </row>
    <row r="612" spans="1:5" ht="18">
      <c r="A612" s="36"/>
      <c r="C612" s="37"/>
      <c r="D612" s="37"/>
      <c r="E612" s="38"/>
    </row>
    <row r="613" spans="1:5" ht="18">
      <c r="A613" s="36"/>
      <c r="C613" s="37"/>
      <c r="D613" s="37"/>
      <c r="E613" s="38"/>
    </row>
    <row r="614" spans="1:5" ht="18">
      <c r="A614" s="36"/>
      <c r="C614" s="37"/>
      <c r="D614" s="37"/>
      <c r="E614" s="38"/>
    </row>
    <row r="615" spans="1:5" ht="18">
      <c r="A615" s="36"/>
      <c r="C615" s="37"/>
      <c r="D615" s="37"/>
      <c r="E615" s="38"/>
    </row>
    <row r="616" spans="1:5" ht="18">
      <c r="A616" s="36"/>
      <c r="C616" s="37"/>
      <c r="D616" s="37"/>
      <c r="E616" s="38"/>
    </row>
    <row r="617" spans="1:5" ht="18">
      <c r="A617" s="36"/>
      <c r="C617" s="37"/>
      <c r="D617" s="37"/>
      <c r="E617" s="38"/>
    </row>
    <row r="618" spans="1:5" ht="18">
      <c r="A618" s="36"/>
      <c r="C618" s="37"/>
      <c r="D618" s="37"/>
      <c r="E618" s="38"/>
    </row>
    <row r="619" spans="1:5" ht="18">
      <c r="A619" s="36"/>
      <c r="C619" s="37"/>
      <c r="D619" s="37"/>
      <c r="E619" s="38"/>
    </row>
    <row r="620" spans="1:5" ht="18">
      <c r="A620" s="36"/>
      <c r="C620" s="37"/>
      <c r="D620" s="37"/>
      <c r="E620" s="38"/>
    </row>
    <row r="621" spans="1:5" ht="18">
      <c r="A621" s="36"/>
      <c r="C621" s="37"/>
      <c r="D621" s="37"/>
      <c r="E621" s="38"/>
    </row>
    <row r="622" spans="1:5" ht="18">
      <c r="A622" s="36"/>
      <c r="C622" s="37"/>
      <c r="D622" s="37"/>
      <c r="E622" s="38"/>
    </row>
    <row r="623" spans="1:5" ht="18">
      <c r="A623" s="36"/>
      <c r="C623" s="37"/>
      <c r="D623" s="37"/>
      <c r="E623" s="38"/>
    </row>
    <row r="624" spans="1:5" ht="18">
      <c r="A624" s="36"/>
      <c r="C624" s="37"/>
      <c r="D624" s="37"/>
      <c r="E624" s="38"/>
    </row>
    <row r="625" spans="1:5" ht="18">
      <c r="A625" s="36"/>
      <c r="C625" s="37"/>
      <c r="D625" s="37"/>
      <c r="E625" s="38"/>
    </row>
    <row r="626" spans="1:5" ht="18">
      <c r="A626" s="36"/>
      <c r="C626" s="37"/>
      <c r="D626" s="37"/>
      <c r="E626" s="38"/>
    </row>
    <row r="627" spans="1:5" ht="18">
      <c r="A627" s="36"/>
      <c r="C627" s="37"/>
      <c r="D627" s="37"/>
      <c r="E627" s="38"/>
    </row>
    <row r="628" spans="1:5" ht="18">
      <c r="A628" s="36"/>
      <c r="C628" s="37"/>
      <c r="D628" s="37"/>
      <c r="E628" s="38"/>
    </row>
    <row r="629" spans="1:5" ht="18">
      <c r="A629" s="36"/>
      <c r="C629" s="37"/>
      <c r="D629" s="37"/>
      <c r="E629" s="38"/>
    </row>
    <row r="630" spans="1:5" ht="18">
      <c r="A630" s="36"/>
      <c r="C630" s="37"/>
      <c r="D630" s="37"/>
      <c r="E630" s="38"/>
    </row>
    <row r="631" spans="1:5" ht="18">
      <c r="A631" s="36"/>
      <c r="C631" s="37"/>
      <c r="D631" s="37"/>
      <c r="E631" s="38"/>
    </row>
    <row r="632" spans="1:5" ht="18">
      <c r="A632" s="36"/>
      <c r="C632" s="37"/>
      <c r="D632" s="37"/>
      <c r="E632" s="38"/>
    </row>
    <row r="633" spans="1:5" ht="18">
      <c r="A633" s="36"/>
      <c r="C633" s="37"/>
      <c r="D633" s="37"/>
      <c r="E633" s="38"/>
    </row>
    <row r="634" spans="1:5" ht="18">
      <c r="A634" s="36"/>
      <c r="C634" s="37"/>
      <c r="D634" s="37"/>
      <c r="E634" s="38"/>
    </row>
    <row r="635" spans="1:5" ht="18">
      <c r="A635" s="36"/>
      <c r="C635" s="37"/>
      <c r="D635" s="37"/>
      <c r="E635" s="38"/>
    </row>
    <row r="636" spans="1:5" ht="18">
      <c r="A636" s="36"/>
      <c r="C636" s="37"/>
      <c r="D636" s="37"/>
      <c r="E636" s="38"/>
    </row>
    <row r="637" spans="1:5" ht="18">
      <c r="A637" s="36"/>
      <c r="C637" s="37"/>
      <c r="D637" s="37"/>
      <c r="E637" s="38"/>
    </row>
    <row r="638" spans="1:5" ht="18">
      <c r="A638" s="36"/>
      <c r="C638" s="37"/>
      <c r="D638" s="37"/>
      <c r="E638" s="38"/>
    </row>
    <row r="639" spans="1:5" ht="18">
      <c r="A639" s="36"/>
      <c r="C639" s="37"/>
      <c r="D639" s="37"/>
      <c r="E639" s="38"/>
    </row>
    <row r="640" spans="1:5" ht="18">
      <c r="A640" s="36"/>
      <c r="C640" s="37"/>
      <c r="D640" s="37"/>
      <c r="E640" s="38"/>
    </row>
    <row r="641" spans="1:5" ht="18">
      <c r="A641" s="36"/>
      <c r="C641" s="37"/>
      <c r="D641" s="37"/>
      <c r="E641" s="38"/>
    </row>
    <row r="642" spans="1:5" ht="18">
      <c r="A642" s="36"/>
      <c r="C642" s="37"/>
      <c r="D642" s="37"/>
      <c r="E642" s="38"/>
    </row>
    <row r="643" spans="1:5" ht="18">
      <c r="A643" s="36"/>
      <c r="C643" s="37"/>
      <c r="D643" s="37"/>
      <c r="E643" s="38"/>
    </row>
    <row r="644" spans="1:5" ht="18">
      <c r="A644" s="36"/>
      <c r="C644" s="37"/>
      <c r="D644" s="37"/>
      <c r="E644" s="38"/>
    </row>
    <row r="645" spans="1:5" ht="18">
      <c r="A645" s="36"/>
      <c r="C645" s="37"/>
      <c r="D645" s="37"/>
      <c r="E645" s="38"/>
    </row>
    <row r="646" spans="1:5" ht="18">
      <c r="A646" s="36"/>
      <c r="C646" s="37"/>
      <c r="D646" s="37"/>
      <c r="E646" s="38"/>
    </row>
    <row r="647" spans="1:5" ht="18">
      <c r="A647" s="36"/>
      <c r="C647" s="37"/>
      <c r="D647" s="37"/>
      <c r="E647" s="38"/>
    </row>
    <row r="648" spans="1:5" ht="18">
      <c r="A648" s="36"/>
      <c r="C648" s="37"/>
      <c r="D648" s="37"/>
      <c r="E648" s="38"/>
    </row>
    <row r="649" spans="1:5" ht="18">
      <c r="A649" s="36"/>
      <c r="C649" s="37"/>
      <c r="D649" s="37"/>
      <c r="E649" s="38"/>
    </row>
    <row r="650" spans="1:5" ht="18">
      <c r="A650" s="36"/>
      <c r="C650" s="37"/>
      <c r="D650" s="37"/>
      <c r="E650" s="38"/>
    </row>
    <row r="651" spans="1:5" ht="18">
      <c r="A651" s="36"/>
      <c r="C651" s="37"/>
      <c r="D651" s="37"/>
      <c r="E651" s="38"/>
    </row>
    <row r="652" spans="1:5" ht="18">
      <c r="A652" s="36"/>
      <c r="C652" s="37"/>
      <c r="D652" s="37"/>
      <c r="E652" s="38"/>
    </row>
    <row r="653" spans="1:5" ht="18">
      <c r="A653" s="36"/>
      <c r="C653" s="37"/>
      <c r="D653" s="37"/>
      <c r="E653" s="38"/>
    </row>
    <row r="654" spans="1:5" ht="18">
      <c r="A654" s="36"/>
      <c r="C654" s="37"/>
      <c r="D654" s="37"/>
      <c r="E654" s="38"/>
    </row>
    <row r="655" spans="1:5" ht="18">
      <c r="A655" s="36"/>
      <c r="C655" s="37"/>
      <c r="D655" s="37"/>
      <c r="E655" s="38"/>
    </row>
    <row r="656" spans="1:5" ht="18">
      <c r="A656" s="36"/>
      <c r="C656" s="37"/>
      <c r="D656" s="37"/>
      <c r="E656" s="38"/>
    </row>
    <row r="657" spans="1:5" ht="18">
      <c r="A657" s="36"/>
      <c r="C657" s="37"/>
      <c r="D657" s="37"/>
      <c r="E657" s="38"/>
    </row>
    <row r="658" spans="1:5" ht="18">
      <c r="A658" s="36"/>
      <c r="C658" s="37"/>
      <c r="D658" s="37"/>
      <c r="E658" s="38"/>
    </row>
    <row r="659" spans="1:5" ht="18">
      <c r="A659" s="36"/>
      <c r="C659" s="37"/>
      <c r="D659" s="37"/>
      <c r="E659" s="38"/>
    </row>
    <row r="660" spans="1:5" ht="18">
      <c r="A660" s="36"/>
      <c r="C660" s="37"/>
      <c r="D660" s="37"/>
      <c r="E660" s="38"/>
    </row>
    <row r="661" spans="1:5" ht="18">
      <c r="A661" s="36"/>
      <c r="C661" s="37"/>
      <c r="D661" s="37"/>
      <c r="E661" s="38"/>
    </row>
    <row r="662" spans="1:5" ht="18">
      <c r="A662" s="36"/>
      <c r="C662" s="37"/>
      <c r="D662" s="37"/>
      <c r="E662" s="38"/>
    </row>
    <row r="663" spans="1:5" ht="18">
      <c r="A663" s="36"/>
      <c r="C663" s="37"/>
      <c r="D663" s="37"/>
      <c r="E663" s="38"/>
    </row>
    <row r="664" spans="1:5" ht="18">
      <c r="A664" s="36"/>
      <c r="C664" s="37"/>
      <c r="D664" s="37"/>
      <c r="E664" s="38"/>
    </row>
    <row r="665" spans="1:5" ht="18">
      <c r="A665" s="36"/>
      <c r="C665" s="37"/>
      <c r="D665" s="37"/>
      <c r="E665" s="38"/>
    </row>
    <row r="666" spans="1:5" ht="18">
      <c r="A666" s="36"/>
      <c r="C666" s="37"/>
      <c r="D666" s="37"/>
      <c r="E666" s="38"/>
    </row>
    <row r="667" spans="1:5" ht="18">
      <c r="A667" s="36"/>
      <c r="C667" s="37"/>
      <c r="D667" s="37"/>
      <c r="E667" s="38"/>
    </row>
    <row r="668" spans="1:5" ht="18">
      <c r="A668" s="36"/>
      <c r="C668" s="37"/>
      <c r="D668" s="37"/>
      <c r="E668" s="38"/>
    </row>
    <row r="669" spans="1:5" ht="18">
      <c r="A669" s="36"/>
      <c r="C669" s="37"/>
      <c r="D669" s="37"/>
      <c r="E669" s="38"/>
    </row>
    <row r="670" spans="1:5" ht="18">
      <c r="A670" s="36"/>
      <c r="C670" s="37"/>
      <c r="D670" s="37"/>
      <c r="E670" s="38"/>
    </row>
    <row r="671" spans="1:5" ht="18">
      <c r="A671" s="36"/>
      <c r="C671" s="37"/>
      <c r="D671" s="37"/>
      <c r="E671" s="38"/>
    </row>
    <row r="672" spans="1:5" ht="18">
      <c r="A672" s="36"/>
      <c r="C672" s="37"/>
      <c r="D672" s="37"/>
      <c r="E672" s="38"/>
    </row>
    <row r="673" spans="1:5" ht="18">
      <c r="A673" s="36"/>
      <c r="C673" s="37"/>
      <c r="D673" s="37"/>
      <c r="E673" s="38"/>
    </row>
    <row r="674" spans="1:5" ht="18">
      <c r="A674" s="36"/>
      <c r="C674" s="37"/>
      <c r="D674" s="37"/>
      <c r="E674" s="38"/>
    </row>
    <row r="675" spans="1:5" ht="18">
      <c r="A675" s="36"/>
      <c r="C675" s="37"/>
      <c r="D675" s="37"/>
      <c r="E675" s="38"/>
    </row>
    <row r="676" spans="1:5" ht="18">
      <c r="A676" s="36"/>
      <c r="C676" s="37"/>
      <c r="D676" s="37"/>
      <c r="E676" s="38"/>
    </row>
    <row r="677" spans="1:5" ht="18">
      <c r="A677" s="36"/>
      <c r="C677" s="37"/>
      <c r="D677" s="37"/>
      <c r="E677" s="38"/>
    </row>
    <row r="678" spans="1:5" ht="18">
      <c r="A678" s="36"/>
      <c r="C678" s="37"/>
      <c r="D678" s="37"/>
      <c r="E678" s="38"/>
    </row>
    <row r="679" spans="1:5" ht="18">
      <c r="A679" s="36"/>
      <c r="C679" s="37"/>
      <c r="D679" s="37"/>
      <c r="E679" s="38"/>
    </row>
    <row r="680" spans="1:5" ht="18">
      <c r="A680" s="36"/>
      <c r="C680" s="37"/>
      <c r="D680" s="37"/>
      <c r="E680" s="38"/>
    </row>
    <row r="681" spans="1:5" ht="18">
      <c r="A681" s="36"/>
      <c r="C681" s="37"/>
      <c r="D681" s="37"/>
      <c r="E681" s="38"/>
    </row>
    <row r="682" spans="1:5" ht="18">
      <c r="A682" s="36"/>
      <c r="C682" s="37"/>
      <c r="D682" s="37"/>
      <c r="E682" s="38"/>
    </row>
    <row r="683" spans="1:5" ht="18">
      <c r="A683" s="36"/>
      <c r="C683" s="37"/>
      <c r="D683" s="37"/>
      <c r="E683" s="38"/>
    </row>
    <row r="684" spans="1:5" ht="18">
      <c r="A684" s="36"/>
      <c r="C684" s="37"/>
      <c r="D684" s="37"/>
      <c r="E684" s="38"/>
    </row>
    <row r="685" spans="1:5" ht="18">
      <c r="A685" s="36"/>
      <c r="C685" s="37"/>
      <c r="D685" s="37"/>
      <c r="E685" s="38"/>
    </row>
    <row r="686" spans="1:5" ht="18">
      <c r="A686" s="36"/>
      <c r="C686" s="37"/>
      <c r="D686" s="37"/>
      <c r="E686" s="38"/>
    </row>
    <row r="687" spans="1:5" ht="18">
      <c r="A687" s="36"/>
      <c r="C687" s="37"/>
      <c r="D687" s="37"/>
      <c r="E687" s="38"/>
    </row>
    <row r="688" spans="1:5" ht="18">
      <c r="A688" s="36"/>
      <c r="C688" s="37"/>
      <c r="D688" s="37"/>
      <c r="E688" s="38"/>
    </row>
    <row r="689" spans="1:5" ht="18">
      <c r="A689" s="36"/>
      <c r="C689" s="37"/>
      <c r="D689" s="37"/>
      <c r="E689" s="38"/>
    </row>
    <row r="690" spans="1:5" ht="18">
      <c r="A690" s="36"/>
      <c r="C690" s="37"/>
      <c r="D690" s="37"/>
      <c r="E690" s="38"/>
    </row>
    <row r="691" spans="1:5" ht="18">
      <c r="A691" s="36"/>
      <c r="C691" s="37"/>
      <c r="D691" s="37"/>
      <c r="E691" s="38"/>
    </row>
    <row r="692" spans="1:5" ht="18">
      <c r="A692" s="36"/>
      <c r="C692" s="37"/>
      <c r="D692" s="37"/>
      <c r="E692" s="38"/>
    </row>
    <row r="693" spans="1:5" ht="18">
      <c r="A693" s="36"/>
      <c r="C693" s="37"/>
      <c r="D693" s="37"/>
      <c r="E693" s="38"/>
    </row>
    <row r="694" spans="1:5" ht="18">
      <c r="A694" s="36"/>
      <c r="C694" s="37"/>
      <c r="D694" s="37"/>
      <c r="E694" s="38"/>
    </row>
    <row r="695" spans="1:5" ht="18">
      <c r="A695" s="36"/>
      <c r="C695" s="37"/>
      <c r="D695" s="37"/>
      <c r="E695" s="38"/>
    </row>
    <row r="696" spans="1:5" ht="18">
      <c r="A696" s="36"/>
      <c r="C696" s="37"/>
      <c r="D696" s="37"/>
      <c r="E696" s="38"/>
    </row>
    <row r="697" spans="1:5" ht="18">
      <c r="A697" s="36"/>
      <c r="C697" s="37"/>
      <c r="D697" s="37"/>
      <c r="E697" s="38"/>
    </row>
    <row r="698" spans="1:5" ht="18">
      <c r="A698" s="36"/>
      <c r="C698" s="37"/>
      <c r="D698" s="37"/>
      <c r="E698" s="38"/>
    </row>
    <row r="699" spans="1:5" ht="18">
      <c r="A699" s="36"/>
      <c r="C699" s="37"/>
      <c r="D699" s="37"/>
      <c r="E699" s="38"/>
    </row>
    <row r="700" spans="1:5" ht="18">
      <c r="A700" s="36"/>
      <c r="C700" s="37"/>
      <c r="D700" s="37"/>
      <c r="E700" s="38"/>
    </row>
    <row r="701" spans="1:5" ht="18">
      <c r="A701" s="36"/>
      <c r="C701" s="37"/>
      <c r="D701" s="37"/>
      <c r="E701" s="38"/>
    </row>
    <row r="702" spans="1:5" ht="18">
      <c r="A702" s="36"/>
      <c r="C702" s="37"/>
      <c r="D702" s="37"/>
      <c r="E702" s="38"/>
    </row>
    <row r="703" spans="1:5" ht="18">
      <c r="A703" s="36"/>
      <c r="C703" s="37"/>
      <c r="D703" s="37"/>
      <c r="E703" s="38"/>
    </row>
    <row r="704" spans="1:5" ht="18">
      <c r="A704" s="36"/>
      <c r="C704" s="37"/>
      <c r="D704" s="37"/>
      <c r="E704" s="38"/>
    </row>
    <row r="705" spans="1:5" ht="18">
      <c r="A705" s="36"/>
      <c r="C705" s="37"/>
      <c r="D705" s="37"/>
      <c r="E705" s="38"/>
    </row>
    <row r="706" spans="1:5" ht="18">
      <c r="A706" s="36"/>
      <c r="C706" s="37"/>
      <c r="D706" s="37"/>
      <c r="E706" s="38"/>
    </row>
    <row r="707" spans="1:5" ht="18">
      <c r="A707" s="36"/>
      <c r="C707" s="37"/>
      <c r="D707" s="37"/>
      <c r="E707" s="38"/>
    </row>
    <row r="708" spans="1:5" ht="18">
      <c r="A708" s="36"/>
      <c r="C708" s="37"/>
      <c r="D708" s="37"/>
      <c r="E708" s="38"/>
    </row>
    <row r="709" spans="1:5" ht="18">
      <c r="A709" s="36"/>
      <c r="C709" s="37"/>
      <c r="D709" s="37"/>
      <c r="E709" s="38"/>
    </row>
    <row r="710" spans="1:5" ht="18">
      <c r="A710" s="36"/>
      <c r="C710" s="37"/>
      <c r="D710" s="37"/>
      <c r="E710" s="38"/>
    </row>
    <row r="711" spans="1:5" ht="18">
      <c r="A711" s="36"/>
      <c r="C711" s="37"/>
      <c r="D711" s="37"/>
      <c r="E711" s="38"/>
    </row>
    <row r="712" spans="1:5" ht="18">
      <c r="A712" s="36"/>
      <c r="C712" s="37"/>
      <c r="D712" s="37"/>
      <c r="E712" s="38"/>
    </row>
    <row r="713" spans="1:5" ht="18">
      <c r="A713" s="36"/>
      <c r="C713" s="37"/>
      <c r="D713" s="37"/>
      <c r="E713" s="38"/>
    </row>
    <row r="714" spans="1:5" ht="18">
      <c r="A714" s="36"/>
      <c r="C714" s="37"/>
      <c r="D714" s="37"/>
      <c r="E714" s="38"/>
    </row>
    <row r="715" spans="1:5" ht="18">
      <c r="A715" s="36"/>
      <c r="C715" s="37"/>
      <c r="D715" s="37"/>
      <c r="E715" s="38"/>
    </row>
    <row r="716" spans="1:5" ht="18">
      <c r="A716" s="36"/>
      <c r="C716" s="37"/>
      <c r="D716" s="37"/>
      <c r="E716" s="38"/>
    </row>
    <row r="717" spans="1:5" ht="18">
      <c r="A717" s="36"/>
      <c r="C717" s="37"/>
      <c r="D717" s="37"/>
      <c r="E717" s="38"/>
    </row>
    <row r="718" spans="1:5" ht="18">
      <c r="A718" s="36"/>
      <c r="C718" s="37"/>
      <c r="D718" s="37"/>
      <c r="E718" s="38"/>
    </row>
    <row r="719" spans="1:5" ht="18">
      <c r="A719" s="36"/>
      <c r="C719" s="37"/>
      <c r="D719" s="37"/>
      <c r="E719" s="38"/>
    </row>
    <row r="720" spans="1:5" ht="18">
      <c r="A720" s="36"/>
      <c r="C720" s="37"/>
      <c r="D720" s="37"/>
      <c r="E720" s="38"/>
    </row>
    <row r="721" spans="1:5" ht="18">
      <c r="A721" s="36"/>
      <c r="C721" s="37"/>
      <c r="D721" s="37"/>
      <c r="E721" s="38"/>
    </row>
    <row r="722" spans="1:5" ht="18">
      <c r="A722" s="36"/>
      <c r="C722" s="37"/>
      <c r="D722" s="37"/>
      <c r="E722" s="38"/>
    </row>
    <row r="723" spans="1:5" ht="18">
      <c r="A723" s="36"/>
      <c r="C723" s="37"/>
      <c r="D723" s="37"/>
      <c r="E723" s="38"/>
    </row>
    <row r="724" spans="1:5" ht="18">
      <c r="A724" s="36"/>
      <c r="C724" s="37"/>
      <c r="D724" s="37"/>
      <c r="E724" s="38"/>
    </row>
    <row r="725" spans="1:5" ht="18">
      <c r="A725" s="36"/>
      <c r="C725" s="37"/>
      <c r="D725" s="37"/>
      <c r="E725" s="38"/>
    </row>
    <row r="726" spans="1:5" ht="18">
      <c r="A726" s="36"/>
      <c r="C726" s="37"/>
      <c r="D726" s="37"/>
      <c r="E726" s="38"/>
    </row>
    <row r="727" spans="1:5" ht="18">
      <c r="A727" s="36"/>
      <c r="C727" s="37"/>
      <c r="D727" s="37"/>
      <c r="E727" s="38"/>
    </row>
    <row r="728" spans="1:5" ht="18">
      <c r="A728" s="36"/>
      <c r="C728" s="37"/>
      <c r="D728" s="37"/>
      <c r="E728" s="38"/>
    </row>
    <row r="729" spans="1:5" ht="18">
      <c r="A729" s="36"/>
      <c r="C729" s="37"/>
      <c r="D729" s="37"/>
      <c r="E729" s="38"/>
    </row>
    <row r="730" spans="1:5" ht="18">
      <c r="A730" s="36"/>
      <c r="C730" s="37"/>
      <c r="D730" s="37"/>
      <c r="E730" s="38"/>
    </row>
    <row r="731" spans="1:5" ht="18">
      <c r="A731" s="36"/>
      <c r="C731" s="37"/>
      <c r="D731" s="37"/>
      <c r="E731" s="38"/>
    </row>
    <row r="732" spans="1:5" ht="18">
      <c r="A732" s="36"/>
      <c r="C732" s="37"/>
      <c r="D732" s="37"/>
      <c r="E732" s="38"/>
    </row>
    <row r="733" spans="1:5" ht="18">
      <c r="A733" s="36"/>
      <c r="C733" s="37"/>
      <c r="D733" s="37"/>
      <c r="E733" s="38"/>
    </row>
    <row r="734" spans="1:5" ht="18">
      <c r="A734" s="36"/>
      <c r="C734" s="37"/>
      <c r="D734" s="37"/>
      <c r="E734" s="38"/>
    </row>
    <row r="735" spans="1:5" ht="18">
      <c r="A735" s="36"/>
      <c r="C735" s="37"/>
      <c r="D735" s="37"/>
      <c r="E735" s="38"/>
    </row>
    <row r="736" spans="1:5" ht="18">
      <c r="A736" s="36"/>
      <c r="C736" s="37"/>
      <c r="D736" s="37"/>
      <c r="E736" s="38"/>
    </row>
    <row r="737" spans="1:5" ht="18">
      <c r="A737" s="36"/>
      <c r="C737" s="37"/>
      <c r="D737" s="37"/>
      <c r="E737" s="38"/>
    </row>
    <row r="738" spans="1:5" ht="18">
      <c r="A738" s="36"/>
      <c r="C738" s="37"/>
      <c r="D738" s="37"/>
      <c r="E738" s="38"/>
    </row>
    <row r="739" spans="1:5" ht="18">
      <c r="A739" s="36"/>
      <c r="C739" s="37"/>
      <c r="D739" s="37"/>
      <c r="E739" s="38"/>
    </row>
    <row r="740" spans="1:5" ht="18">
      <c r="A740" s="36"/>
      <c r="C740" s="37"/>
      <c r="D740" s="37"/>
      <c r="E740" s="38"/>
    </row>
    <row r="741" spans="1:5" ht="18">
      <c r="A741" s="36"/>
      <c r="C741" s="37"/>
      <c r="D741" s="37"/>
      <c r="E741" s="38"/>
    </row>
    <row r="742" spans="1:5" ht="18">
      <c r="A742" s="36"/>
      <c r="C742" s="37"/>
      <c r="D742" s="37"/>
      <c r="E742" s="38"/>
    </row>
    <row r="743" spans="1:5" ht="18">
      <c r="A743" s="36"/>
      <c r="C743" s="37"/>
      <c r="D743" s="37"/>
      <c r="E743" s="38"/>
    </row>
    <row r="744" spans="1:5" ht="18">
      <c r="A744" s="36"/>
      <c r="C744" s="37"/>
      <c r="D744" s="37"/>
      <c r="E744" s="38"/>
    </row>
    <row r="745" spans="1:5" ht="18">
      <c r="A745" s="36"/>
      <c r="C745" s="37"/>
      <c r="D745" s="37"/>
      <c r="E745" s="38"/>
    </row>
    <row r="746" spans="1:5" ht="18">
      <c r="A746" s="36"/>
      <c r="C746" s="37"/>
      <c r="D746" s="37"/>
      <c r="E746" s="38"/>
    </row>
    <row r="747" spans="1:5" ht="18">
      <c r="A747" s="36"/>
      <c r="C747" s="37"/>
      <c r="D747" s="37"/>
      <c r="E747" s="38"/>
    </row>
    <row r="748" spans="1:5" ht="18">
      <c r="A748" s="36"/>
      <c r="C748" s="37"/>
      <c r="D748" s="37"/>
      <c r="E748" s="38"/>
    </row>
    <row r="749" spans="1:5" ht="18">
      <c r="A749" s="36"/>
      <c r="C749" s="37"/>
      <c r="D749" s="37"/>
      <c r="E749" s="38"/>
    </row>
    <row r="750" spans="1:5" ht="18">
      <c r="A750" s="36"/>
      <c r="C750" s="37"/>
      <c r="D750" s="37"/>
      <c r="E750" s="38"/>
    </row>
    <row r="751" spans="1:5" ht="18">
      <c r="A751" s="36"/>
      <c r="C751" s="37"/>
      <c r="D751" s="37"/>
      <c r="E751" s="38"/>
    </row>
    <row r="752" spans="1:5" ht="18">
      <c r="A752" s="36"/>
      <c r="C752" s="37"/>
      <c r="D752" s="37"/>
      <c r="E752" s="38"/>
    </row>
    <row r="753" spans="1:5" ht="18">
      <c r="A753" s="36"/>
      <c r="C753" s="37"/>
      <c r="D753" s="37"/>
      <c r="E753" s="38"/>
    </row>
    <row r="754" spans="1:5" ht="18">
      <c r="A754" s="36"/>
      <c r="C754" s="37"/>
      <c r="D754" s="37"/>
      <c r="E754" s="38"/>
    </row>
    <row r="755" spans="1:5" ht="18">
      <c r="A755" s="36"/>
      <c r="C755" s="37"/>
      <c r="D755" s="37"/>
      <c r="E755" s="38"/>
    </row>
    <row r="756" spans="1:5" ht="18">
      <c r="A756" s="36"/>
      <c r="C756" s="37"/>
      <c r="D756" s="37"/>
      <c r="E756" s="38"/>
    </row>
    <row r="757" spans="1:5" ht="18">
      <c r="A757" s="36"/>
      <c r="C757" s="37"/>
      <c r="D757" s="37"/>
      <c r="E757" s="38"/>
    </row>
    <row r="758" spans="1:5" ht="18">
      <c r="A758" s="36"/>
      <c r="C758" s="37"/>
      <c r="D758" s="37"/>
      <c r="E758" s="38"/>
    </row>
    <row r="759" spans="1:5" ht="18">
      <c r="A759" s="36"/>
      <c r="C759" s="37"/>
      <c r="D759" s="37"/>
      <c r="E759" s="38"/>
    </row>
    <row r="760" spans="1:5" ht="18">
      <c r="A760" s="36"/>
      <c r="C760" s="37"/>
      <c r="D760" s="37"/>
      <c r="E760" s="38"/>
    </row>
    <row r="761" spans="1:5" ht="18">
      <c r="A761" s="36"/>
      <c r="C761" s="37"/>
      <c r="D761" s="37"/>
      <c r="E761" s="38"/>
    </row>
    <row r="762" spans="1:5" ht="18">
      <c r="A762" s="36"/>
      <c r="C762" s="37"/>
      <c r="D762" s="37"/>
      <c r="E762" s="38"/>
    </row>
    <row r="763" spans="1:5" ht="18">
      <c r="A763" s="36"/>
      <c r="C763" s="37"/>
      <c r="D763" s="37"/>
      <c r="E763" s="38"/>
    </row>
    <row r="764" spans="1:5" ht="18">
      <c r="A764" s="36"/>
      <c r="C764" s="37"/>
      <c r="D764" s="37"/>
      <c r="E764" s="38"/>
    </row>
    <row r="765" spans="1:5" ht="18">
      <c r="A765" s="36"/>
      <c r="C765" s="37"/>
      <c r="D765" s="37"/>
      <c r="E765" s="38"/>
    </row>
    <row r="766" spans="1:5" ht="18">
      <c r="A766" s="36"/>
      <c r="C766" s="37"/>
      <c r="D766" s="37"/>
      <c r="E766" s="38"/>
    </row>
    <row r="767" spans="1:5" ht="18">
      <c r="A767" s="36"/>
      <c r="C767" s="37"/>
      <c r="D767" s="37"/>
      <c r="E767" s="38"/>
    </row>
    <row r="768" spans="1:5" ht="18">
      <c r="A768" s="36"/>
      <c r="C768" s="37"/>
      <c r="D768" s="37"/>
      <c r="E768" s="38"/>
    </row>
    <row r="769" spans="1:5" ht="18">
      <c r="A769" s="36"/>
      <c r="C769" s="37"/>
      <c r="D769" s="37"/>
      <c r="E769" s="38"/>
    </row>
    <row r="770" spans="1:5" ht="18">
      <c r="A770" s="36"/>
      <c r="C770" s="37"/>
      <c r="D770" s="37"/>
      <c r="E770" s="38"/>
    </row>
    <row r="771" spans="1:5" ht="18">
      <c r="A771" s="36"/>
      <c r="C771" s="37"/>
      <c r="D771" s="37"/>
      <c r="E771" s="38"/>
    </row>
    <row r="772" spans="1:5" ht="18">
      <c r="A772" s="36"/>
      <c r="C772" s="37"/>
      <c r="D772" s="37"/>
      <c r="E772" s="38"/>
    </row>
    <row r="773" spans="1:5" ht="18">
      <c r="A773" s="36"/>
      <c r="C773" s="37"/>
      <c r="D773" s="37"/>
      <c r="E773" s="38"/>
    </row>
    <row r="774" spans="1:5" ht="18">
      <c r="A774" s="36"/>
      <c r="C774" s="37"/>
      <c r="D774" s="37"/>
      <c r="E774" s="38"/>
    </row>
    <row r="775" spans="1:5" ht="18">
      <c r="A775" s="36"/>
      <c r="C775" s="37"/>
      <c r="D775" s="37"/>
      <c r="E775" s="38"/>
    </row>
    <row r="776" spans="1:5" ht="18">
      <c r="A776" s="36"/>
      <c r="C776" s="37"/>
      <c r="D776" s="37"/>
      <c r="E776" s="38"/>
    </row>
    <row r="777" spans="1:5" ht="18">
      <c r="A777" s="36"/>
      <c r="C777" s="37"/>
      <c r="D777" s="37"/>
      <c r="E777" s="38"/>
    </row>
    <row r="778" spans="1:5" ht="18">
      <c r="A778" s="36"/>
      <c r="C778" s="37"/>
      <c r="D778" s="37"/>
      <c r="E778" s="38"/>
    </row>
    <row r="779" spans="1:5" ht="18">
      <c r="A779" s="36"/>
      <c r="C779" s="37"/>
      <c r="D779" s="37"/>
      <c r="E779" s="38"/>
    </row>
    <row r="780" spans="1:5" ht="18">
      <c r="A780" s="36"/>
      <c r="C780" s="37"/>
      <c r="D780" s="37"/>
      <c r="E780" s="38"/>
    </row>
    <row r="781" spans="1:5" ht="18">
      <c r="A781" s="36"/>
      <c r="C781" s="37"/>
      <c r="D781" s="37"/>
      <c r="E781" s="38"/>
    </row>
    <row r="782" spans="1:5" ht="18">
      <c r="A782" s="36"/>
      <c r="C782" s="37"/>
      <c r="D782" s="37"/>
      <c r="E782" s="38"/>
    </row>
    <row r="783" spans="1:5" ht="18">
      <c r="A783" s="36"/>
      <c r="C783" s="37"/>
      <c r="D783" s="37"/>
      <c r="E783" s="38"/>
    </row>
    <row r="784" spans="1:5" ht="18">
      <c r="A784" s="36"/>
      <c r="C784" s="37"/>
      <c r="D784" s="37"/>
      <c r="E784" s="38"/>
    </row>
    <row r="785" spans="1:5" ht="18">
      <c r="A785" s="36"/>
      <c r="C785" s="37"/>
      <c r="D785" s="37"/>
      <c r="E785" s="38"/>
    </row>
    <row r="786" spans="1:5" ht="18">
      <c r="A786" s="36"/>
      <c r="C786" s="37"/>
      <c r="D786" s="37"/>
      <c r="E786" s="38"/>
    </row>
    <row r="787" spans="1:5" ht="18">
      <c r="A787" s="36"/>
      <c r="C787" s="37"/>
      <c r="D787" s="37"/>
      <c r="E787" s="38"/>
    </row>
    <row r="788" spans="1:5" ht="18">
      <c r="A788" s="36"/>
      <c r="C788" s="37"/>
      <c r="D788" s="37"/>
      <c r="E788" s="38"/>
    </row>
    <row r="789" spans="1:5" ht="18">
      <c r="A789" s="36"/>
      <c r="C789" s="37"/>
      <c r="D789" s="37"/>
      <c r="E789" s="38"/>
    </row>
    <row r="790" spans="1:5" ht="18">
      <c r="A790" s="36"/>
      <c r="C790" s="37"/>
      <c r="D790" s="37"/>
      <c r="E790" s="38"/>
    </row>
    <row r="791" spans="1:5" ht="18">
      <c r="A791" s="36"/>
      <c r="C791" s="37"/>
      <c r="D791" s="37"/>
      <c r="E791" s="38"/>
    </row>
    <row r="792" spans="1:5" ht="18">
      <c r="A792" s="36"/>
      <c r="C792" s="37"/>
      <c r="D792" s="37"/>
      <c r="E792" s="38"/>
    </row>
    <row r="793" spans="1:5" ht="18">
      <c r="A793" s="36"/>
      <c r="C793" s="37"/>
      <c r="D793" s="37"/>
      <c r="E793" s="38"/>
    </row>
    <row r="794" spans="1:5" ht="18">
      <c r="A794" s="36"/>
      <c r="C794" s="37"/>
      <c r="D794" s="37"/>
      <c r="E794" s="38"/>
    </row>
    <row r="795" spans="1:5" ht="18">
      <c r="A795" s="36"/>
      <c r="C795" s="37"/>
      <c r="D795" s="37"/>
      <c r="E795" s="38"/>
    </row>
    <row r="796" spans="1:5" ht="18">
      <c r="A796" s="36"/>
      <c r="C796" s="37"/>
      <c r="D796" s="37"/>
      <c r="E796" s="38"/>
    </row>
    <row r="797" spans="1:5" ht="18">
      <c r="A797" s="36"/>
      <c r="C797" s="37"/>
      <c r="D797" s="37"/>
      <c r="E797" s="38"/>
    </row>
    <row r="798" spans="1:5" ht="18">
      <c r="A798" s="36"/>
      <c r="C798" s="37"/>
      <c r="D798" s="37"/>
      <c r="E798" s="38"/>
    </row>
    <row r="799" spans="1:5" ht="18">
      <c r="A799" s="36"/>
      <c r="C799" s="37"/>
      <c r="D799" s="37"/>
      <c r="E799" s="38"/>
    </row>
    <row r="800" spans="1:5" ht="18">
      <c r="A800" s="36"/>
      <c r="C800" s="37"/>
      <c r="D800" s="37"/>
      <c r="E800" s="38"/>
    </row>
    <row r="801" spans="1:5" ht="18">
      <c r="A801" s="36"/>
      <c r="C801" s="37"/>
      <c r="D801" s="37"/>
      <c r="E801" s="38"/>
    </row>
    <row r="802" spans="1:5" ht="18">
      <c r="A802" s="36"/>
      <c r="C802" s="37"/>
      <c r="D802" s="37"/>
      <c r="E802" s="38"/>
    </row>
    <row r="803" spans="1:5" ht="18">
      <c r="A803" s="36"/>
      <c r="C803" s="37"/>
      <c r="D803" s="37"/>
      <c r="E803" s="38"/>
    </row>
    <row r="804" spans="1:5" ht="18">
      <c r="A804" s="36"/>
      <c r="C804" s="37"/>
      <c r="D804" s="37"/>
      <c r="E804" s="38"/>
    </row>
    <row r="805" spans="1:5" ht="18">
      <c r="A805" s="36"/>
      <c r="C805" s="37"/>
      <c r="D805" s="37"/>
      <c r="E805" s="38"/>
    </row>
    <row r="806" spans="1:5" ht="18">
      <c r="A806" s="36"/>
      <c r="C806" s="37"/>
      <c r="D806" s="37"/>
      <c r="E806" s="38"/>
    </row>
    <row r="807" spans="1:5" ht="18">
      <c r="A807" s="36"/>
      <c r="C807" s="37"/>
      <c r="D807" s="37"/>
      <c r="E807" s="38"/>
    </row>
    <row r="808" spans="1:5" ht="18">
      <c r="A808" s="36"/>
      <c r="C808" s="37"/>
      <c r="D808" s="37"/>
      <c r="E808" s="38"/>
    </row>
    <row r="809" spans="1:5" ht="18">
      <c r="A809" s="36"/>
      <c r="C809" s="37"/>
      <c r="D809" s="37"/>
      <c r="E809" s="38"/>
    </row>
    <row r="810" spans="1:5" ht="18">
      <c r="A810" s="36"/>
      <c r="C810" s="37"/>
      <c r="D810" s="37"/>
      <c r="E810" s="38"/>
    </row>
    <row r="811" spans="1:5" ht="18">
      <c r="A811" s="36"/>
      <c r="C811" s="37"/>
      <c r="D811" s="37"/>
      <c r="E811" s="38"/>
    </row>
    <row r="812" spans="1:5" ht="18">
      <c r="A812" s="36"/>
      <c r="C812" s="37"/>
      <c r="D812" s="37"/>
      <c r="E812" s="38"/>
    </row>
    <row r="813" spans="1:5" ht="18">
      <c r="A813" s="36"/>
      <c r="C813" s="37"/>
      <c r="D813" s="37"/>
      <c r="E813" s="38"/>
    </row>
    <row r="814" spans="1:5" ht="18">
      <c r="A814" s="36"/>
      <c r="C814" s="37"/>
      <c r="D814" s="37"/>
      <c r="E814" s="38"/>
    </row>
    <row r="815" spans="1:5" ht="18">
      <c r="A815" s="36"/>
      <c r="C815" s="37"/>
      <c r="D815" s="37"/>
      <c r="E815" s="38"/>
    </row>
    <row r="816" spans="1:5" ht="18">
      <c r="A816" s="36"/>
      <c r="C816" s="37"/>
      <c r="D816" s="37"/>
      <c r="E816" s="38"/>
    </row>
    <row r="817" spans="1:5" ht="18">
      <c r="A817" s="36"/>
      <c r="C817" s="37"/>
      <c r="D817" s="37"/>
      <c r="E817" s="38"/>
    </row>
    <row r="818" spans="1:5" ht="18">
      <c r="A818" s="36"/>
      <c r="C818" s="37"/>
      <c r="D818" s="37"/>
      <c r="E818" s="38"/>
    </row>
    <row r="819" spans="1:5" ht="18">
      <c r="A819" s="36"/>
      <c r="C819" s="37"/>
      <c r="D819" s="37"/>
      <c r="E819" s="38"/>
    </row>
    <row r="820" spans="1:5" ht="18">
      <c r="A820" s="36"/>
      <c r="C820" s="37"/>
      <c r="D820" s="37"/>
      <c r="E820" s="38"/>
    </row>
    <row r="821" spans="1:5" ht="18">
      <c r="A821" s="36"/>
      <c r="C821" s="37"/>
      <c r="D821" s="37"/>
      <c r="E821" s="38"/>
    </row>
    <row r="822" spans="1:5" ht="18">
      <c r="A822" s="36"/>
      <c r="C822" s="37"/>
      <c r="D822" s="37"/>
      <c r="E822" s="38"/>
    </row>
    <row r="823" spans="1:5" ht="18">
      <c r="A823" s="36"/>
      <c r="C823" s="37"/>
      <c r="D823" s="37"/>
      <c r="E823" s="38"/>
    </row>
    <row r="824" spans="1:5" ht="18">
      <c r="A824" s="36"/>
      <c r="C824" s="37"/>
      <c r="D824" s="37"/>
      <c r="E824" s="38"/>
    </row>
    <row r="825" spans="1:5" ht="18">
      <c r="A825" s="36"/>
      <c r="C825" s="37"/>
      <c r="D825" s="37"/>
      <c r="E825" s="38"/>
    </row>
    <row r="826" spans="1:5" ht="18">
      <c r="A826" s="36"/>
      <c r="C826" s="37"/>
      <c r="D826" s="37"/>
      <c r="E826" s="38"/>
    </row>
    <row r="827" spans="1:5" ht="18">
      <c r="A827" s="36"/>
      <c r="C827" s="37"/>
      <c r="D827" s="37"/>
      <c r="E827" s="38"/>
    </row>
    <row r="828" spans="1:5" ht="18">
      <c r="A828" s="36"/>
      <c r="C828" s="37"/>
      <c r="D828" s="37"/>
      <c r="E828" s="38"/>
    </row>
    <row r="829" spans="1:5" ht="18">
      <c r="A829" s="36"/>
      <c r="C829" s="37"/>
      <c r="D829" s="37"/>
      <c r="E829" s="38"/>
    </row>
    <row r="830" spans="1:5" ht="18">
      <c r="A830" s="36"/>
      <c r="C830" s="37"/>
      <c r="D830" s="37"/>
      <c r="E830" s="38"/>
    </row>
    <row r="831" spans="1:5" ht="18">
      <c r="A831" s="36"/>
      <c r="C831" s="37"/>
      <c r="D831" s="37"/>
      <c r="E831" s="38"/>
    </row>
    <row r="832" spans="1:5" ht="18">
      <c r="A832" s="36"/>
      <c r="C832" s="37"/>
      <c r="D832" s="37"/>
      <c r="E832" s="38"/>
    </row>
    <row r="833" spans="1:5" ht="18">
      <c r="A833" s="36"/>
      <c r="C833" s="37"/>
      <c r="D833" s="37"/>
      <c r="E833" s="38"/>
    </row>
    <row r="834" spans="1:5" ht="18">
      <c r="A834" s="36"/>
      <c r="C834" s="37"/>
      <c r="D834" s="37"/>
      <c r="E834" s="38"/>
    </row>
    <row r="835" spans="1:5" ht="18">
      <c r="A835" s="36"/>
      <c r="C835" s="37"/>
      <c r="D835" s="37"/>
      <c r="E835" s="38"/>
    </row>
    <row r="836" spans="1:5" ht="18">
      <c r="A836" s="36"/>
      <c r="C836" s="37"/>
      <c r="D836" s="37"/>
      <c r="E836" s="38"/>
    </row>
    <row r="837" spans="1:5" ht="18">
      <c r="A837" s="36"/>
      <c r="C837" s="37"/>
      <c r="D837" s="37"/>
      <c r="E837" s="38"/>
    </row>
    <row r="838" spans="1:5" ht="18">
      <c r="A838" s="36"/>
      <c r="C838" s="37"/>
      <c r="D838" s="37"/>
      <c r="E838" s="38"/>
    </row>
    <row r="839" spans="1:5" ht="18">
      <c r="A839" s="36"/>
      <c r="C839" s="37"/>
      <c r="D839" s="37"/>
      <c r="E839" s="38"/>
    </row>
    <row r="840" spans="1:5" ht="18">
      <c r="A840" s="36"/>
      <c r="C840" s="37"/>
      <c r="D840" s="37"/>
      <c r="E840" s="38"/>
    </row>
    <row r="841" spans="1:5" ht="18">
      <c r="A841" s="36"/>
      <c r="C841" s="37"/>
      <c r="D841" s="37"/>
      <c r="E841" s="38"/>
    </row>
    <row r="842" spans="1:5" ht="18">
      <c r="A842" s="36"/>
      <c r="C842" s="37"/>
      <c r="D842" s="37"/>
      <c r="E842" s="38"/>
    </row>
    <row r="843" spans="1:5" ht="18">
      <c r="A843" s="36"/>
      <c r="C843" s="37"/>
      <c r="D843" s="37"/>
      <c r="E843" s="38"/>
    </row>
    <row r="844" spans="1:5" ht="18">
      <c r="A844" s="36"/>
      <c r="C844" s="37"/>
      <c r="D844" s="37"/>
      <c r="E844" s="38"/>
    </row>
    <row r="845" spans="1:5" ht="18">
      <c r="A845" s="36"/>
      <c r="C845" s="37"/>
      <c r="D845" s="37"/>
      <c r="E845" s="38"/>
    </row>
    <row r="846" spans="1:5" ht="18">
      <c r="A846" s="36"/>
      <c r="C846" s="37"/>
      <c r="D846" s="37"/>
      <c r="E846" s="38"/>
    </row>
    <row r="847" spans="1:5" ht="18">
      <c r="A847" s="36"/>
      <c r="C847" s="37"/>
      <c r="D847" s="37"/>
      <c r="E847" s="38"/>
    </row>
    <row r="848" spans="1:5" ht="18">
      <c r="A848" s="36"/>
      <c r="C848" s="37"/>
      <c r="D848" s="37"/>
      <c r="E848" s="38"/>
    </row>
    <row r="849" spans="1:5" ht="18">
      <c r="A849" s="36"/>
      <c r="C849" s="37"/>
      <c r="D849" s="37"/>
      <c r="E849" s="38"/>
    </row>
    <row r="850" spans="1:5" ht="18">
      <c r="A850" s="36"/>
      <c r="C850" s="37"/>
      <c r="D850" s="37"/>
      <c r="E850" s="38"/>
    </row>
    <row r="851" spans="1:5" ht="18">
      <c r="A851" s="36"/>
      <c r="C851" s="37"/>
      <c r="D851" s="37"/>
      <c r="E851" s="38"/>
    </row>
    <row r="852" spans="1:5" ht="18">
      <c r="A852" s="36"/>
      <c r="C852" s="37"/>
      <c r="D852" s="37"/>
      <c r="E852" s="38"/>
    </row>
    <row r="853" spans="1:5" ht="18">
      <c r="A853" s="36"/>
      <c r="C853" s="37"/>
      <c r="D853" s="37"/>
      <c r="E853" s="38"/>
    </row>
    <row r="854" spans="1:5" ht="18">
      <c r="A854" s="36"/>
      <c r="C854" s="37"/>
      <c r="D854" s="37"/>
      <c r="E854" s="38"/>
    </row>
    <row r="855" spans="1:5" ht="18">
      <c r="A855" s="36"/>
      <c r="C855" s="37"/>
      <c r="D855" s="37"/>
      <c r="E855" s="38"/>
    </row>
    <row r="856" spans="1:5" ht="18">
      <c r="A856" s="36"/>
      <c r="C856" s="37"/>
      <c r="D856" s="37"/>
      <c r="E856" s="38"/>
    </row>
    <row r="857" spans="1:5" ht="18">
      <c r="A857" s="36"/>
      <c r="C857" s="37"/>
      <c r="D857" s="37"/>
      <c r="E857" s="38"/>
    </row>
    <row r="858" spans="1:5" ht="18">
      <c r="A858" s="36"/>
      <c r="C858" s="37"/>
      <c r="D858" s="37"/>
      <c r="E858" s="38"/>
    </row>
    <row r="859" spans="1:5" ht="18">
      <c r="A859" s="36"/>
      <c r="C859" s="37"/>
      <c r="D859" s="37"/>
      <c r="E859" s="38"/>
    </row>
    <row r="860" spans="1:5" ht="18">
      <c r="A860" s="36"/>
      <c r="C860" s="37"/>
      <c r="D860" s="37"/>
      <c r="E860" s="38"/>
    </row>
    <row r="861" spans="1:5" ht="18">
      <c r="A861" s="36"/>
      <c r="C861" s="37"/>
      <c r="D861" s="37"/>
      <c r="E861" s="38"/>
    </row>
    <row r="862" spans="1:5" ht="18">
      <c r="A862" s="36"/>
      <c r="C862" s="37"/>
      <c r="D862" s="37"/>
      <c r="E862" s="38"/>
    </row>
    <row r="863" spans="1:5" ht="18">
      <c r="A863" s="36"/>
      <c r="C863" s="37"/>
      <c r="D863" s="37"/>
      <c r="E863" s="38"/>
    </row>
    <row r="864" spans="1:5" ht="18">
      <c r="A864" s="36"/>
      <c r="C864" s="37"/>
      <c r="D864" s="37"/>
      <c r="E864" s="38"/>
    </row>
    <row r="865" spans="1:5" ht="18">
      <c r="A865" s="36"/>
      <c r="C865" s="37"/>
      <c r="D865" s="37"/>
      <c r="E865" s="38"/>
    </row>
    <row r="866" spans="1:5" ht="18">
      <c r="A866" s="36"/>
      <c r="C866" s="37"/>
      <c r="D866" s="37"/>
      <c r="E866" s="38"/>
    </row>
    <row r="867" spans="1:5" ht="18">
      <c r="A867" s="36"/>
      <c r="C867" s="37"/>
      <c r="D867" s="37"/>
      <c r="E867" s="38"/>
    </row>
    <row r="868" spans="1:5" ht="18">
      <c r="A868" s="36"/>
      <c r="C868" s="37"/>
      <c r="D868" s="37"/>
      <c r="E868" s="38"/>
    </row>
    <row r="869" spans="1:5" ht="18">
      <c r="A869" s="36"/>
      <c r="C869" s="37"/>
      <c r="D869" s="37"/>
      <c r="E869" s="38"/>
    </row>
    <row r="870" spans="1:5" ht="18">
      <c r="A870" s="36"/>
      <c r="C870" s="37"/>
      <c r="D870" s="37"/>
      <c r="E870" s="38"/>
    </row>
    <row r="871" spans="1:5" ht="18">
      <c r="A871" s="36"/>
      <c r="C871" s="37"/>
      <c r="D871" s="37"/>
      <c r="E871" s="38"/>
    </row>
    <row r="872" spans="1:5" ht="18">
      <c r="A872" s="36"/>
      <c r="C872" s="37"/>
      <c r="D872" s="37"/>
      <c r="E872" s="38"/>
    </row>
    <row r="873" spans="1:5" ht="18">
      <c r="A873" s="36"/>
      <c r="C873" s="37"/>
      <c r="D873" s="37"/>
      <c r="E873" s="38"/>
    </row>
    <row r="874" spans="1:5" ht="18">
      <c r="A874" s="36"/>
      <c r="C874" s="37"/>
      <c r="D874" s="37"/>
      <c r="E874" s="38"/>
    </row>
    <row r="875" spans="1:5" ht="18">
      <c r="A875" s="36"/>
      <c r="C875" s="37"/>
      <c r="D875" s="37"/>
      <c r="E875" s="38"/>
    </row>
    <row r="876" spans="1:5" ht="18">
      <c r="A876" s="36"/>
      <c r="C876" s="37"/>
      <c r="D876" s="37"/>
      <c r="E876" s="38"/>
    </row>
    <row r="877" spans="1:5" ht="18">
      <c r="A877" s="36"/>
      <c r="C877" s="37"/>
      <c r="D877" s="37"/>
      <c r="E877" s="38"/>
    </row>
    <row r="878" spans="1:5" ht="18">
      <c r="A878" s="36"/>
      <c r="C878" s="37"/>
      <c r="D878" s="37"/>
      <c r="E878" s="38"/>
    </row>
    <row r="879" spans="1:5" ht="18">
      <c r="A879" s="36"/>
      <c r="C879" s="37"/>
      <c r="D879" s="37"/>
      <c r="E879" s="38"/>
    </row>
    <row r="880" spans="1:5" ht="18">
      <c r="A880" s="36"/>
      <c r="C880" s="37"/>
      <c r="D880" s="37"/>
      <c r="E880" s="38"/>
    </row>
    <row r="881" spans="1:5" ht="18">
      <c r="A881" s="36"/>
      <c r="C881" s="37"/>
      <c r="D881" s="37"/>
      <c r="E881" s="38"/>
    </row>
    <row r="882" spans="1:5" ht="18">
      <c r="A882" s="36"/>
      <c r="C882" s="37"/>
      <c r="D882" s="37"/>
      <c r="E882" s="38"/>
    </row>
    <row r="883" spans="1:5" ht="18">
      <c r="A883" s="36"/>
      <c r="C883" s="37"/>
      <c r="D883" s="37"/>
      <c r="E883" s="38"/>
    </row>
    <row r="884" spans="1:5" ht="18">
      <c r="A884" s="36"/>
      <c r="C884" s="37"/>
      <c r="D884" s="37"/>
      <c r="E884" s="38"/>
    </row>
    <row r="885" spans="1:5" ht="18">
      <c r="A885" s="36"/>
      <c r="C885" s="37"/>
      <c r="D885" s="37"/>
      <c r="E885" s="38"/>
    </row>
    <row r="886" spans="1:5" ht="18">
      <c r="A886" s="36"/>
      <c r="C886" s="37"/>
      <c r="D886" s="37"/>
      <c r="E886" s="38"/>
    </row>
    <row r="887" spans="1:5" ht="18">
      <c r="A887" s="36"/>
      <c r="C887" s="37"/>
      <c r="D887" s="37"/>
      <c r="E887" s="38"/>
    </row>
    <row r="888" spans="1:5" ht="18">
      <c r="A888" s="36"/>
      <c r="C888" s="37"/>
      <c r="D888" s="37"/>
      <c r="E888" s="38"/>
    </row>
    <row r="889" spans="1:5" ht="18">
      <c r="A889" s="36"/>
      <c r="C889" s="37"/>
      <c r="D889" s="37"/>
      <c r="E889" s="38"/>
    </row>
    <row r="890" spans="1:5" ht="18">
      <c r="A890" s="36"/>
      <c r="C890" s="37"/>
      <c r="D890" s="37"/>
      <c r="E890" s="38"/>
    </row>
    <row r="891" spans="1:5" ht="18">
      <c r="A891" s="36"/>
      <c r="C891" s="37"/>
      <c r="D891" s="37"/>
      <c r="E891" s="38"/>
    </row>
    <row r="892" spans="1:5" ht="18">
      <c r="A892" s="36"/>
      <c r="C892" s="37"/>
      <c r="D892" s="37"/>
      <c r="E892" s="38"/>
    </row>
    <row r="893" spans="1:5" ht="18">
      <c r="A893" s="36"/>
      <c r="C893" s="37"/>
      <c r="D893" s="37"/>
      <c r="E893" s="38"/>
    </row>
    <row r="894" spans="1:5" ht="18">
      <c r="A894" s="36"/>
      <c r="C894" s="37"/>
      <c r="D894" s="37"/>
      <c r="E894" s="38"/>
    </row>
    <row r="895" spans="1:5" ht="18">
      <c r="A895" s="36"/>
      <c r="C895" s="37"/>
      <c r="D895" s="37"/>
      <c r="E895" s="38"/>
    </row>
    <row r="896" spans="1:5" ht="18">
      <c r="A896" s="36"/>
      <c r="C896" s="37"/>
      <c r="D896" s="37"/>
      <c r="E896" s="38"/>
    </row>
    <row r="897" spans="1:5" ht="18">
      <c r="A897" s="36"/>
      <c r="C897" s="37"/>
      <c r="D897" s="37"/>
      <c r="E897" s="38"/>
    </row>
    <row r="898" spans="1:5" ht="18">
      <c r="A898" s="36"/>
      <c r="C898" s="37"/>
      <c r="D898" s="37"/>
      <c r="E898" s="38"/>
    </row>
    <row r="899" spans="1:5" ht="18">
      <c r="A899" s="36"/>
      <c r="C899" s="37"/>
      <c r="D899" s="37"/>
      <c r="E899" s="38"/>
    </row>
    <row r="900" spans="1:5" ht="18">
      <c r="A900" s="36"/>
      <c r="C900" s="37"/>
      <c r="D900" s="37"/>
      <c r="E900" s="38"/>
    </row>
    <row r="901" spans="1:5" ht="18">
      <c r="A901" s="36"/>
      <c r="C901" s="37"/>
      <c r="D901" s="37"/>
      <c r="E901" s="38"/>
    </row>
    <row r="902" spans="1:5" ht="18">
      <c r="A902" s="36"/>
      <c r="C902" s="37"/>
      <c r="D902" s="37"/>
      <c r="E902" s="38"/>
    </row>
    <row r="903" spans="1:5" ht="18">
      <c r="A903" s="36"/>
      <c r="C903" s="37"/>
      <c r="D903" s="37"/>
      <c r="E903" s="38"/>
    </row>
    <row r="904" spans="1:5" ht="18">
      <c r="A904" s="36"/>
      <c r="C904" s="37"/>
      <c r="D904" s="37"/>
      <c r="E904" s="38"/>
    </row>
    <row r="905" spans="1:5" ht="18">
      <c r="A905" s="36"/>
      <c r="C905" s="37"/>
      <c r="D905" s="37"/>
      <c r="E905" s="38"/>
    </row>
    <row r="906" spans="1:5" ht="18">
      <c r="A906" s="36"/>
      <c r="C906" s="37"/>
      <c r="D906" s="37"/>
      <c r="E906" s="38"/>
    </row>
    <row r="907" spans="1:5" ht="18">
      <c r="A907" s="36"/>
      <c r="C907" s="37"/>
      <c r="D907" s="37"/>
      <c r="E907" s="38"/>
    </row>
    <row r="908" spans="1:5" ht="18">
      <c r="A908" s="36"/>
      <c r="C908" s="37"/>
      <c r="D908" s="37"/>
      <c r="E908" s="38"/>
    </row>
    <row r="909" spans="1:5" ht="18">
      <c r="A909" s="36"/>
      <c r="C909" s="37"/>
      <c r="D909" s="37"/>
      <c r="E909" s="38"/>
    </row>
    <row r="910" spans="1:5" ht="18">
      <c r="A910" s="36"/>
      <c r="C910" s="37"/>
      <c r="D910" s="37"/>
      <c r="E910" s="38"/>
    </row>
    <row r="911" spans="1:5" ht="18">
      <c r="A911" s="36"/>
      <c r="C911" s="37"/>
      <c r="D911" s="37"/>
      <c r="E911" s="38"/>
    </row>
    <row r="912" spans="1:5" ht="18">
      <c r="A912" s="36"/>
      <c r="C912" s="37"/>
      <c r="D912" s="37"/>
      <c r="E912" s="38"/>
    </row>
    <row r="913" spans="1:5" ht="18">
      <c r="A913" s="36"/>
      <c r="C913" s="37"/>
      <c r="D913" s="37"/>
      <c r="E913" s="38"/>
    </row>
    <row r="914" spans="1:5" ht="18">
      <c r="A914" s="36"/>
      <c r="C914" s="37"/>
      <c r="D914" s="37"/>
      <c r="E914" s="38"/>
    </row>
    <row r="915" spans="1:5" ht="18">
      <c r="A915" s="36"/>
      <c r="C915" s="37"/>
      <c r="D915" s="37"/>
      <c r="E915" s="38"/>
    </row>
    <row r="916" spans="1:5" ht="18">
      <c r="A916" s="36"/>
      <c r="C916" s="37"/>
      <c r="D916" s="37"/>
      <c r="E916" s="38"/>
    </row>
    <row r="917" spans="1:5" ht="18">
      <c r="A917" s="36"/>
      <c r="C917" s="37"/>
      <c r="D917" s="37"/>
      <c r="E917" s="38"/>
    </row>
    <row r="918" spans="1:5" ht="18">
      <c r="A918" s="36"/>
      <c r="C918" s="37"/>
      <c r="D918" s="37"/>
      <c r="E918" s="38"/>
    </row>
    <row r="919" spans="1:5" ht="18">
      <c r="A919" s="36"/>
      <c r="C919" s="37"/>
      <c r="D919" s="37"/>
      <c r="E919" s="38"/>
    </row>
    <row r="920" spans="1:5" ht="18">
      <c r="A920" s="36"/>
      <c r="C920" s="37"/>
      <c r="D920" s="37"/>
      <c r="E920" s="38"/>
    </row>
    <row r="921" spans="1:5" ht="18">
      <c r="A921" s="36"/>
      <c r="C921" s="37"/>
      <c r="D921" s="37"/>
      <c r="E921" s="38"/>
    </row>
    <row r="922" spans="1:5" ht="18">
      <c r="A922" s="36"/>
      <c r="C922" s="37"/>
      <c r="D922" s="37"/>
      <c r="E922" s="38"/>
    </row>
    <row r="923" spans="1:5" ht="18">
      <c r="A923" s="36"/>
      <c r="C923" s="37"/>
      <c r="D923" s="37"/>
      <c r="E923" s="38"/>
    </row>
    <row r="924" spans="1:5" ht="18">
      <c r="A924" s="36"/>
      <c r="C924" s="37"/>
      <c r="D924" s="37"/>
      <c r="E924" s="38"/>
    </row>
    <row r="925" spans="1:5" ht="18">
      <c r="A925" s="36"/>
      <c r="C925" s="37"/>
      <c r="D925" s="37"/>
      <c r="E925" s="38"/>
    </row>
    <row r="926" spans="1:5" ht="18">
      <c r="A926" s="36"/>
      <c r="C926" s="37"/>
      <c r="D926" s="37"/>
      <c r="E926" s="38"/>
    </row>
    <row r="927" spans="1:5" ht="18">
      <c r="A927" s="36"/>
      <c r="C927" s="37"/>
      <c r="D927" s="37"/>
      <c r="E927" s="38"/>
    </row>
    <row r="928" spans="1:5" ht="18">
      <c r="A928" s="36"/>
      <c r="C928" s="37"/>
      <c r="D928" s="37"/>
      <c r="E928" s="38"/>
    </row>
    <row r="929" spans="1:5" ht="18">
      <c r="A929" s="36"/>
      <c r="C929" s="37"/>
      <c r="D929" s="37"/>
      <c r="E929" s="38"/>
    </row>
    <row r="930" spans="1:5" ht="18">
      <c r="A930" s="36"/>
      <c r="C930" s="37"/>
      <c r="D930" s="37"/>
      <c r="E930" s="38"/>
    </row>
    <row r="931" spans="1:5" ht="18">
      <c r="A931" s="36"/>
      <c r="C931" s="37"/>
      <c r="D931" s="37"/>
      <c r="E931" s="38"/>
    </row>
    <row r="932" spans="1:5" ht="18">
      <c r="A932" s="36"/>
      <c r="C932" s="37"/>
      <c r="D932" s="37"/>
      <c r="E932" s="38"/>
    </row>
    <row r="933" spans="1:5" ht="18">
      <c r="A933" s="39"/>
      <c r="C933" s="37"/>
      <c r="D933" s="37"/>
      <c r="E933" s="38"/>
    </row>
    <row r="934" spans="1:5" ht="18">
      <c r="A934" s="39"/>
      <c r="C934" s="37"/>
      <c r="D934" s="37"/>
      <c r="E934" s="38"/>
    </row>
    <row r="935" spans="1:5" ht="18">
      <c r="A935" s="39"/>
      <c r="C935" s="37"/>
      <c r="D935" s="37"/>
      <c r="E935" s="38"/>
    </row>
    <row r="936" spans="1:5" ht="18">
      <c r="A936" s="39"/>
      <c r="C936" s="37"/>
      <c r="D936" s="37"/>
      <c r="E936" s="38"/>
    </row>
    <row r="937" spans="1:5" ht="18">
      <c r="A937" s="39"/>
      <c r="C937" s="37"/>
      <c r="D937" s="37"/>
      <c r="E937" s="38"/>
    </row>
    <row r="938" spans="1:5" ht="18">
      <c r="A938" s="39"/>
      <c r="C938" s="37"/>
      <c r="D938" s="37"/>
      <c r="E938" s="38"/>
    </row>
    <row r="939" spans="1:5" ht="18">
      <c r="A939" s="39"/>
      <c r="C939" s="37"/>
      <c r="D939" s="37"/>
      <c r="E939" s="38"/>
    </row>
    <row r="940" spans="1:5" ht="18">
      <c r="A940" s="39"/>
      <c r="C940" s="37"/>
      <c r="D940" s="37"/>
      <c r="E940" s="38"/>
    </row>
    <row r="941" spans="1:5" ht="18">
      <c r="A941" s="39"/>
      <c r="C941" s="37"/>
      <c r="D941" s="37"/>
      <c r="E941" s="38"/>
    </row>
    <row r="942" spans="1:5" ht="18">
      <c r="A942" s="39"/>
      <c r="C942" s="37"/>
      <c r="D942" s="37"/>
      <c r="E942" s="38"/>
    </row>
    <row r="943" spans="1:5" ht="18">
      <c r="A943" s="39"/>
      <c r="C943" s="37"/>
      <c r="D943" s="37"/>
      <c r="E943" s="38"/>
    </row>
    <row r="944" spans="1:5" ht="18">
      <c r="A944" s="39"/>
      <c r="C944" s="37"/>
      <c r="D944" s="37"/>
      <c r="E944" s="38"/>
    </row>
    <row r="945" spans="1:5" ht="18">
      <c r="A945" s="39"/>
      <c r="C945" s="37"/>
      <c r="D945" s="37"/>
      <c r="E945" s="38"/>
    </row>
    <row r="946" spans="1:5" ht="18">
      <c r="A946" s="39"/>
      <c r="C946" s="37"/>
      <c r="D946" s="37"/>
      <c r="E946" s="38"/>
    </row>
    <row r="947" spans="1:5" ht="18">
      <c r="A947" s="39"/>
      <c r="C947" s="37"/>
      <c r="D947" s="37"/>
      <c r="E947" s="38"/>
    </row>
    <row r="948" spans="1:5" ht="18">
      <c r="A948" s="39"/>
      <c r="C948" s="37"/>
      <c r="D948" s="37"/>
      <c r="E948" s="38"/>
    </row>
    <row r="949" spans="1:5" ht="18">
      <c r="A949" s="39"/>
      <c r="C949" s="37"/>
      <c r="D949" s="37"/>
      <c r="E949" s="38"/>
    </row>
    <row r="950" spans="1:5" ht="18">
      <c r="A950" s="39"/>
      <c r="C950" s="37"/>
      <c r="D950" s="37"/>
      <c r="E950" s="38"/>
    </row>
    <row r="951" spans="1:5" ht="18">
      <c r="A951" s="39"/>
      <c r="C951" s="37"/>
      <c r="D951" s="37"/>
      <c r="E951" s="38"/>
    </row>
    <row r="952" spans="1:5" ht="18">
      <c r="A952" s="39"/>
      <c r="C952" s="37"/>
      <c r="D952" s="37"/>
      <c r="E952" s="38"/>
    </row>
    <row r="953" spans="1:5" ht="18">
      <c r="A953" s="39"/>
      <c r="C953" s="37"/>
      <c r="D953" s="37"/>
      <c r="E953" s="38"/>
    </row>
    <row r="954" spans="1:5" ht="18">
      <c r="A954" s="39"/>
      <c r="C954" s="37"/>
      <c r="D954" s="37"/>
      <c r="E954" s="38"/>
    </row>
    <row r="955" spans="1:5" ht="18">
      <c r="A955" s="39"/>
      <c r="C955" s="37"/>
      <c r="D955" s="37"/>
      <c r="E955" s="38"/>
    </row>
    <row r="956" spans="1:5" ht="18">
      <c r="A956" s="39"/>
      <c r="C956" s="37"/>
      <c r="D956" s="37"/>
      <c r="E956" s="38"/>
    </row>
    <row r="957" spans="1:5" ht="18">
      <c r="A957" s="39"/>
      <c r="C957" s="37"/>
      <c r="D957" s="37"/>
      <c r="E957" s="38"/>
    </row>
    <row r="958" spans="1:5" ht="18">
      <c r="A958" s="39"/>
      <c r="C958" s="37"/>
      <c r="D958" s="37"/>
      <c r="E958" s="38"/>
    </row>
    <row r="959" spans="1:5" ht="18">
      <c r="A959" s="39"/>
      <c r="C959" s="37"/>
      <c r="D959" s="37"/>
      <c r="E959" s="38"/>
    </row>
    <row r="960" spans="1:5" ht="18">
      <c r="A960" s="39"/>
      <c r="C960" s="37"/>
      <c r="D960" s="37"/>
      <c r="E960" s="38"/>
    </row>
    <row r="961" spans="1:5" ht="18">
      <c r="A961" s="39"/>
      <c r="C961" s="37"/>
      <c r="D961" s="37"/>
      <c r="E961" s="38"/>
    </row>
    <row r="962" spans="1:5" ht="18">
      <c r="A962" s="39"/>
      <c r="C962" s="37"/>
      <c r="D962" s="37"/>
      <c r="E962" s="38"/>
    </row>
    <row r="963" spans="1:5" ht="18">
      <c r="A963" s="39"/>
      <c r="C963" s="37"/>
      <c r="D963" s="37"/>
      <c r="E963" s="38"/>
    </row>
    <row r="964" spans="1:5" ht="18">
      <c r="A964" s="39"/>
      <c r="C964" s="37"/>
      <c r="D964" s="37"/>
      <c r="E964" s="38"/>
    </row>
    <row r="965" spans="1:5" ht="18">
      <c r="A965" s="39"/>
      <c r="C965" s="37"/>
      <c r="D965" s="37"/>
      <c r="E965" s="38"/>
    </row>
    <row r="966" spans="1:5" ht="18">
      <c r="A966" s="39"/>
      <c r="C966" s="37"/>
      <c r="D966" s="37"/>
      <c r="E966" s="38"/>
    </row>
    <row r="967" spans="1:5" ht="18">
      <c r="A967" s="39"/>
      <c r="C967" s="37"/>
      <c r="D967" s="37"/>
      <c r="E967" s="38"/>
    </row>
    <row r="968" spans="1:5" ht="18">
      <c r="A968" s="39"/>
      <c r="C968" s="37"/>
      <c r="D968" s="37"/>
      <c r="E968" s="38"/>
    </row>
    <row r="969" spans="1:5" ht="18">
      <c r="A969" s="39"/>
      <c r="C969" s="37"/>
      <c r="D969" s="37"/>
      <c r="E969" s="38"/>
    </row>
    <row r="970" spans="1:5" ht="18">
      <c r="A970" s="39"/>
      <c r="C970" s="37"/>
      <c r="D970" s="37"/>
      <c r="E970" s="38"/>
    </row>
    <row r="971" spans="1:5" ht="18">
      <c r="A971" s="39"/>
      <c r="C971" s="37"/>
      <c r="D971" s="37"/>
      <c r="E971" s="38"/>
    </row>
    <row r="972" spans="1:5" ht="18">
      <c r="A972" s="39"/>
      <c r="C972" s="37"/>
      <c r="D972" s="37"/>
      <c r="E972" s="38"/>
    </row>
    <row r="973" spans="1:5" ht="18">
      <c r="A973" s="39"/>
      <c r="C973" s="37"/>
      <c r="D973" s="37"/>
      <c r="E973" s="38"/>
    </row>
    <row r="974" spans="1:5" ht="18">
      <c r="A974" s="39"/>
      <c r="C974" s="37"/>
      <c r="D974" s="37"/>
      <c r="E974" s="38"/>
    </row>
    <row r="975" spans="1:5" ht="18">
      <c r="A975" s="39"/>
      <c r="C975" s="37"/>
      <c r="D975" s="37"/>
      <c r="E975" s="38"/>
    </row>
    <row r="976" spans="1:5" ht="18">
      <c r="A976" s="39"/>
      <c r="C976" s="37"/>
      <c r="D976" s="37"/>
      <c r="E976" s="38"/>
    </row>
    <row r="977" spans="1:5" ht="18">
      <c r="A977" s="39"/>
      <c r="C977" s="37"/>
      <c r="D977" s="37"/>
      <c r="E977" s="38"/>
    </row>
    <row r="978" spans="1:5" ht="18">
      <c r="A978" s="39"/>
      <c r="C978" s="37"/>
      <c r="D978" s="37"/>
      <c r="E978" s="38"/>
    </row>
    <row r="979" spans="1:5" ht="18">
      <c r="A979" s="39"/>
      <c r="C979" s="37"/>
      <c r="D979" s="37"/>
      <c r="E979" s="38"/>
    </row>
    <row r="980" spans="1:5" ht="18">
      <c r="A980" s="39"/>
      <c r="C980" s="37"/>
      <c r="D980" s="37"/>
      <c r="E980" s="38"/>
    </row>
    <row r="981" spans="1:5" ht="18">
      <c r="A981" s="39"/>
      <c r="C981" s="37"/>
      <c r="D981" s="37"/>
      <c r="E981" s="38"/>
    </row>
    <row r="982" spans="1:5" ht="18">
      <c r="A982" s="39"/>
      <c r="C982" s="37"/>
      <c r="D982" s="37"/>
      <c r="E982" s="38"/>
    </row>
    <row r="983" spans="1:5" ht="18">
      <c r="A983" s="39"/>
      <c r="C983" s="37"/>
      <c r="D983" s="37"/>
      <c r="E983" s="38"/>
    </row>
    <row r="984" spans="1:5" ht="18">
      <c r="A984" s="39"/>
      <c r="C984" s="37"/>
      <c r="D984" s="37"/>
      <c r="E984" s="38"/>
    </row>
    <row r="985" spans="1:5" ht="18">
      <c r="A985" s="39"/>
      <c r="C985" s="37"/>
      <c r="D985" s="37"/>
      <c r="E985" s="38"/>
    </row>
    <row r="986" spans="1:5" ht="18">
      <c r="A986" s="39"/>
      <c r="C986" s="37"/>
      <c r="D986" s="37"/>
      <c r="E986" s="38"/>
    </row>
    <row r="987" spans="1:5" ht="18">
      <c r="A987" s="39"/>
      <c r="C987" s="37"/>
      <c r="D987" s="37"/>
      <c r="E987" s="38"/>
    </row>
    <row r="988" spans="1:5" ht="18">
      <c r="A988" s="39"/>
      <c r="C988" s="37"/>
      <c r="D988" s="37"/>
      <c r="E988" s="38"/>
    </row>
    <row r="989" spans="1:5" ht="18">
      <c r="A989" s="39"/>
      <c r="C989" s="37"/>
      <c r="D989" s="37"/>
      <c r="E989" s="38"/>
    </row>
    <row r="990" spans="1:5" ht="18">
      <c r="A990" s="39"/>
      <c r="C990" s="37"/>
      <c r="D990" s="37"/>
      <c r="E990" s="38"/>
    </row>
    <row r="991" spans="1:5" ht="18">
      <c r="A991" s="39"/>
      <c r="C991" s="37"/>
      <c r="D991" s="37"/>
      <c r="E991" s="38"/>
    </row>
    <row r="992" spans="1:5" ht="18">
      <c r="A992" s="39"/>
      <c r="C992" s="37"/>
      <c r="D992" s="37"/>
      <c r="E992" s="38"/>
    </row>
    <row r="993" spans="1:5" ht="18">
      <c r="A993" s="39"/>
      <c r="C993" s="37"/>
      <c r="D993" s="37"/>
      <c r="E993" s="38"/>
    </row>
    <row r="994" spans="1:5" ht="18">
      <c r="A994" s="39"/>
      <c r="C994" s="37"/>
      <c r="D994" s="37"/>
      <c r="E994" s="38"/>
    </row>
    <row r="995" spans="1:5" ht="18">
      <c r="A995" s="39"/>
      <c r="C995" s="37"/>
      <c r="D995" s="37"/>
      <c r="E995" s="38"/>
    </row>
    <row r="996" spans="1:5" ht="18">
      <c r="A996" s="39"/>
      <c r="C996" s="37"/>
      <c r="D996" s="37"/>
      <c r="E996" s="38"/>
    </row>
    <row r="997" spans="1:5" ht="18">
      <c r="A997" s="39"/>
      <c r="C997" s="37"/>
      <c r="D997" s="37"/>
      <c r="E997" s="38"/>
    </row>
    <row r="998" spans="1:5" ht="18">
      <c r="A998" s="39"/>
      <c r="C998" s="37"/>
      <c r="D998" s="37"/>
      <c r="E998" s="38"/>
    </row>
    <row r="999" spans="1:5" ht="18">
      <c r="A999" s="39"/>
      <c r="C999" s="37"/>
      <c r="D999" s="37"/>
      <c r="E999" s="38"/>
    </row>
    <row r="1000" spans="1:5" ht="18">
      <c r="A1000" s="39"/>
      <c r="C1000" s="37"/>
      <c r="D1000" s="37"/>
      <c r="E1000" s="38"/>
    </row>
    <row r="1001" spans="1:5" ht="18">
      <c r="A1001" s="39"/>
      <c r="C1001" s="37"/>
      <c r="D1001" s="37"/>
      <c r="E1001" s="38"/>
    </row>
    <row r="1002" spans="1:5" ht="18">
      <c r="A1002" s="39"/>
      <c r="C1002" s="37"/>
      <c r="D1002" s="37"/>
      <c r="E1002" s="38"/>
    </row>
    <row r="1003" spans="1:5" ht="18">
      <c r="A1003" s="39"/>
      <c r="C1003" s="37"/>
      <c r="D1003" s="37"/>
      <c r="E1003" s="38"/>
    </row>
    <row r="1004" spans="1:5" ht="18">
      <c r="A1004" s="39"/>
      <c r="C1004" s="37"/>
      <c r="D1004" s="37"/>
      <c r="E1004" s="38"/>
    </row>
    <row r="1005" spans="1:5" ht="18">
      <c r="A1005" s="39"/>
      <c r="C1005" s="37"/>
      <c r="D1005" s="37"/>
      <c r="E1005" s="38"/>
    </row>
    <row r="1006" spans="1:5" ht="18">
      <c r="A1006" s="39"/>
      <c r="C1006" s="37"/>
      <c r="D1006" s="37"/>
      <c r="E1006" s="38"/>
    </row>
    <row r="1007" spans="1:5" ht="18">
      <c r="A1007" s="39"/>
      <c r="C1007" s="37"/>
      <c r="D1007" s="37"/>
      <c r="E1007" s="38"/>
    </row>
    <row r="1008" spans="1:5" ht="18">
      <c r="A1008" s="39"/>
      <c r="C1008" s="37"/>
      <c r="D1008" s="37"/>
      <c r="E1008" s="38"/>
    </row>
    <row r="1009" spans="1:5" ht="18">
      <c r="A1009" s="39"/>
      <c r="C1009" s="37"/>
      <c r="D1009" s="37"/>
      <c r="E1009" s="38"/>
    </row>
    <row r="1010" spans="1:5" ht="18">
      <c r="A1010" s="39"/>
      <c r="C1010" s="37"/>
      <c r="D1010" s="37"/>
      <c r="E1010" s="38"/>
    </row>
    <row r="1011" spans="1:5" ht="18">
      <c r="A1011" s="39"/>
      <c r="C1011" s="37"/>
      <c r="D1011" s="37"/>
      <c r="E1011" s="38"/>
    </row>
    <row r="1012" spans="1:5" ht="18">
      <c r="A1012" s="39"/>
      <c r="C1012" s="37"/>
      <c r="D1012" s="37"/>
      <c r="E1012" s="38"/>
    </row>
    <row r="1013" spans="1:5" ht="18">
      <c r="A1013" s="39"/>
      <c r="C1013" s="37"/>
      <c r="D1013" s="37"/>
      <c r="E1013" s="38"/>
    </row>
    <row r="1014" spans="1:5" ht="18">
      <c r="A1014" s="39"/>
      <c r="C1014" s="37"/>
      <c r="D1014" s="37"/>
      <c r="E1014" s="38"/>
    </row>
    <row r="1015" spans="1:5" ht="18">
      <c r="A1015" s="39"/>
      <c r="C1015" s="37"/>
      <c r="D1015" s="37"/>
      <c r="E1015" s="38"/>
    </row>
    <row r="1016" spans="1:5" ht="18">
      <c r="A1016" s="39"/>
      <c r="C1016" s="37"/>
      <c r="D1016" s="37"/>
      <c r="E1016" s="38"/>
    </row>
    <row r="1017" spans="1:5" ht="18">
      <c r="A1017" s="39"/>
      <c r="C1017" s="37"/>
      <c r="D1017" s="37"/>
      <c r="E1017" s="38"/>
    </row>
    <row r="1018" spans="1:5" ht="18">
      <c r="A1018" s="39"/>
      <c r="C1018" s="37"/>
      <c r="D1018" s="37"/>
      <c r="E1018" s="38"/>
    </row>
    <row r="1019" spans="1:5" ht="18">
      <c r="A1019" s="39"/>
      <c r="C1019" s="37"/>
      <c r="D1019" s="37"/>
      <c r="E1019" s="38"/>
    </row>
    <row r="1020" spans="1:5" ht="18">
      <c r="A1020" s="39"/>
      <c r="C1020" s="37"/>
      <c r="D1020" s="37"/>
      <c r="E1020" s="38"/>
    </row>
    <row r="1021" spans="1:5" ht="18">
      <c r="A1021" s="39"/>
      <c r="C1021" s="37"/>
      <c r="D1021" s="37"/>
      <c r="E1021" s="38"/>
    </row>
    <row r="1022" spans="1:5" ht="18">
      <c r="A1022" s="39"/>
      <c r="C1022" s="37"/>
      <c r="D1022" s="37"/>
      <c r="E1022" s="38"/>
    </row>
    <row r="1023" spans="1:5" ht="18">
      <c r="A1023" s="39"/>
      <c r="C1023" s="37"/>
      <c r="D1023" s="37"/>
      <c r="E1023" s="38"/>
    </row>
    <row r="1024" spans="1:5" ht="18">
      <c r="A1024" s="39"/>
      <c r="C1024" s="37"/>
      <c r="D1024" s="37"/>
      <c r="E1024" s="38"/>
    </row>
    <row r="1025" spans="1:5" ht="18">
      <c r="A1025" s="39"/>
      <c r="C1025" s="37"/>
      <c r="D1025" s="37"/>
      <c r="E1025" s="38"/>
    </row>
    <row r="1026" spans="1:5" ht="18">
      <c r="A1026" s="39"/>
      <c r="C1026" s="37"/>
      <c r="D1026" s="37"/>
      <c r="E1026" s="38"/>
    </row>
    <row r="1027" spans="1:5" ht="18">
      <c r="A1027" s="39"/>
      <c r="C1027" s="37"/>
      <c r="D1027" s="37"/>
      <c r="E1027" s="38"/>
    </row>
    <row r="1028" spans="1:5" ht="18">
      <c r="A1028" s="39"/>
      <c r="C1028" s="37"/>
      <c r="D1028" s="37"/>
      <c r="E1028" s="38"/>
    </row>
    <row r="1029" spans="1:5" ht="18">
      <c r="A1029" s="39"/>
      <c r="C1029" s="37"/>
      <c r="D1029" s="37"/>
      <c r="E1029" s="38"/>
    </row>
    <row r="1030" spans="1:5" ht="18">
      <c r="A1030" s="39"/>
      <c r="C1030" s="37"/>
      <c r="D1030" s="37"/>
      <c r="E1030" s="38"/>
    </row>
    <row r="1031" spans="1:5" ht="18">
      <c r="A1031" s="39"/>
      <c r="C1031" s="37"/>
      <c r="D1031" s="37"/>
      <c r="E1031" s="38"/>
    </row>
    <row r="1032" spans="1:5" ht="18">
      <c r="A1032" s="39"/>
      <c r="C1032" s="37"/>
      <c r="D1032" s="37"/>
      <c r="E1032" s="38"/>
    </row>
    <row r="1033" spans="1:5" ht="18">
      <c r="A1033" s="39"/>
      <c r="C1033" s="37"/>
      <c r="D1033" s="37"/>
      <c r="E1033" s="38"/>
    </row>
    <row r="1034" spans="1:5" ht="18">
      <c r="A1034" s="39"/>
      <c r="C1034" s="37"/>
      <c r="D1034" s="37"/>
      <c r="E1034" s="38"/>
    </row>
    <row r="1035" spans="1:5" ht="18">
      <c r="A1035" s="39"/>
      <c r="C1035" s="37"/>
      <c r="D1035" s="37"/>
      <c r="E1035" s="38"/>
    </row>
    <row r="1036" spans="1:5" ht="18">
      <c r="A1036" s="39"/>
      <c r="C1036" s="37"/>
      <c r="D1036" s="37"/>
      <c r="E1036" s="38"/>
    </row>
    <row r="1037" spans="1:5" ht="18">
      <c r="A1037" s="39"/>
      <c r="C1037" s="37"/>
      <c r="D1037" s="37"/>
      <c r="E1037" s="38"/>
    </row>
    <row r="1038" spans="1:5" ht="18">
      <c r="A1038" s="39"/>
      <c r="C1038" s="37"/>
      <c r="D1038" s="37"/>
      <c r="E1038" s="38"/>
    </row>
    <row r="1039" spans="1:5" ht="18">
      <c r="A1039" s="39"/>
      <c r="C1039" s="37"/>
      <c r="D1039" s="37"/>
      <c r="E1039" s="38"/>
    </row>
    <row r="1040" spans="1:5" ht="18">
      <c r="A1040" s="39"/>
      <c r="C1040" s="37"/>
      <c r="D1040" s="37"/>
      <c r="E1040" s="38"/>
    </row>
    <row r="1041" spans="1:5" ht="18">
      <c r="A1041" s="39"/>
      <c r="C1041" s="37"/>
      <c r="D1041" s="37"/>
      <c r="E1041" s="38"/>
    </row>
    <row r="1042" spans="1:5" ht="18">
      <c r="A1042" s="39"/>
      <c r="C1042" s="37"/>
      <c r="D1042" s="37"/>
      <c r="E1042" s="38"/>
    </row>
    <row r="1043" spans="1:5" ht="18">
      <c r="A1043" s="39"/>
      <c r="C1043" s="37"/>
      <c r="D1043" s="37"/>
      <c r="E1043" s="38"/>
    </row>
    <row r="1044" spans="1:5" ht="18">
      <c r="A1044" s="39"/>
      <c r="C1044" s="37"/>
      <c r="D1044" s="37"/>
      <c r="E1044" s="38"/>
    </row>
    <row r="1045" spans="1:5" ht="18">
      <c r="A1045" s="39"/>
      <c r="C1045" s="37"/>
      <c r="D1045" s="37"/>
      <c r="E1045" s="38"/>
    </row>
    <row r="1046" spans="1:5" ht="18">
      <c r="A1046" s="39"/>
      <c r="C1046" s="37"/>
      <c r="D1046" s="37"/>
      <c r="E1046" s="38"/>
    </row>
    <row r="1047" spans="1:5" ht="18">
      <c r="A1047" s="39"/>
      <c r="C1047" s="37"/>
      <c r="D1047" s="37"/>
      <c r="E1047" s="38"/>
    </row>
    <row r="1048" spans="1:5" ht="18">
      <c r="A1048" s="39"/>
      <c r="C1048" s="37"/>
      <c r="D1048" s="37"/>
      <c r="E1048" s="38"/>
    </row>
    <row r="1049" spans="1:5" ht="18">
      <c r="A1049" s="39"/>
      <c r="C1049" s="37"/>
      <c r="D1049" s="37"/>
      <c r="E1049" s="38"/>
    </row>
    <row r="1050" spans="1:5" ht="18">
      <c r="A1050" s="39"/>
      <c r="C1050" s="37"/>
      <c r="D1050" s="37"/>
      <c r="E1050" s="38"/>
    </row>
    <row r="1051" spans="1:5" ht="18">
      <c r="A1051" s="39"/>
      <c r="C1051" s="37"/>
      <c r="D1051" s="37"/>
      <c r="E1051" s="38"/>
    </row>
    <row r="1052" spans="1:5" ht="18">
      <c r="A1052" s="39"/>
      <c r="C1052" s="37"/>
      <c r="D1052" s="37"/>
      <c r="E1052" s="38"/>
    </row>
    <row r="1053" spans="1:5" ht="18">
      <c r="A1053" s="39"/>
      <c r="C1053" s="37"/>
      <c r="D1053" s="37"/>
      <c r="E1053" s="38"/>
    </row>
    <row r="1054" spans="1:5" ht="18">
      <c r="A1054" s="39"/>
      <c r="C1054" s="37"/>
      <c r="D1054" s="37"/>
      <c r="E1054" s="38"/>
    </row>
    <row r="1055" spans="1:5" ht="18">
      <c r="A1055" s="39"/>
      <c r="C1055" s="37"/>
      <c r="D1055" s="37"/>
      <c r="E1055" s="38"/>
    </row>
    <row r="1056" spans="1:5" ht="18">
      <c r="A1056" s="39"/>
      <c r="C1056" s="37"/>
      <c r="D1056" s="37"/>
      <c r="E1056" s="38"/>
    </row>
    <row r="1057" spans="1:5" ht="18">
      <c r="A1057" s="39"/>
      <c r="C1057" s="37"/>
      <c r="D1057" s="37"/>
      <c r="E1057" s="38"/>
    </row>
    <row r="1058" spans="1:5" ht="18">
      <c r="A1058" s="39"/>
      <c r="C1058" s="37"/>
      <c r="D1058" s="37"/>
      <c r="E1058" s="38"/>
    </row>
    <row r="1059" spans="1:5" ht="18">
      <c r="A1059" s="39"/>
      <c r="C1059" s="37"/>
      <c r="D1059" s="37"/>
      <c r="E1059" s="38"/>
    </row>
    <row r="1060" spans="1:5" ht="18">
      <c r="A1060" s="39"/>
      <c r="C1060" s="37"/>
      <c r="D1060" s="37"/>
      <c r="E1060" s="38"/>
    </row>
    <row r="1061" spans="1:5" ht="18">
      <c r="A1061" s="39"/>
      <c r="C1061" s="37"/>
      <c r="D1061" s="37"/>
      <c r="E1061" s="38"/>
    </row>
    <row r="1062" spans="1:5" ht="18">
      <c r="A1062" s="39"/>
      <c r="C1062" s="37"/>
      <c r="D1062" s="37"/>
      <c r="E1062" s="38"/>
    </row>
    <row r="1063" spans="1:5" ht="18">
      <c r="A1063" s="39"/>
      <c r="C1063" s="37"/>
      <c r="D1063" s="37"/>
      <c r="E1063" s="38"/>
    </row>
    <row r="1064" spans="1:5" ht="18">
      <c r="A1064" s="39"/>
      <c r="C1064" s="37"/>
      <c r="D1064" s="37"/>
      <c r="E1064" s="38"/>
    </row>
    <row r="1065" spans="1:5" ht="18">
      <c r="A1065" s="39"/>
      <c r="C1065" s="37"/>
      <c r="D1065" s="37"/>
      <c r="E1065" s="38"/>
    </row>
    <row r="1066" spans="1:5" ht="18">
      <c r="A1066" s="39"/>
      <c r="C1066" s="37"/>
      <c r="D1066" s="37"/>
      <c r="E1066" s="38"/>
    </row>
    <row r="1067" spans="1:5" ht="18">
      <c r="A1067" s="39"/>
      <c r="C1067" s="37"/>
      <c r="D1067" s="37"/>
      <c r="E1067" s="38"/>
    </row>
    <row r="1068" spans="1:5" ht="18">
      <c r="A1068" s="39"/>
      <c r="C1068" s="37"/>
      <c r="D1068" s="37"/>
      <c r="E1068" s="38"/>
    </row>
    <row r="1069" spans="1:5" ht="18">
      <c r="A1069" s="39"/>
      <c r="C1069" s="37"/>
      <c r="D1069" s="37"/>
      <c r="E1069" s="38"/>
    </row>
    <row r="1070" spans="1:5" ht="18">
      <c r="A1070" s="39"/>
      <c r="C1070" s="37"/>
      <c r="D1070" s="37"/>
      <c r="E1070" s="38"/>
    </row>
    <row r="1071" spans="1:5" ht="18">
      <c r="A1071" s="39"/>
      <c r="C1071" s="37"/>
      <c r="D1071" s="37"/>
      <c r="E1071" s="38"/>
    </row>
    <row r="1072" spans="1:5" ht="18">
      <c r="A1072" s="39"/>
      <c r="C1072" s="37"/>
      <c r="D1072" s="37"/>
      <c r="E1072" s="38"/>
    </row>
    <row r="1073" spans="1:5" ht="18">
      <c r="A1073" s="39"/>
      <c r="C1073" s="37"/>
      <c r="D1073" s="37"/>
      <c r="E1073" s="38"/>
    </row>
    <row r="1074" spans="1:5" ht="18">
      <c r="A1074" s="39"/>
      <c r="C1074" s="37"/>
      <c r="D1074" s="37"/>
      <c r="E1074" s="38"/>
    </row>
    <row r="1075" spans="1:5" ht="18">
      <c r="A1075" s="39"/>
      <c r="C1075" s="37"/>
      <c r="D1075" s="37"/>
      <c r="E1075" s="38"/>
    </row>
    <row r="1076" spans="1:5" ht="18">
      <c r="A1076" s="39"/>
      <c r="C1076" s="37"/>
      <c r="D1076" s="37"/>
      <c r="E1076" s="38"/>
    </row>
    <row r="1077" spans="1:5" ht="18">
      <c r="A1077" s="39"/>
      <c r="C1077" s="37"/>
      <c r="D1077" s="37"/>
      <c r="E1077" s="38"/>
    </row>
    <row r="1078" spans="1:5" ht="18">
      <c r="A1078" s="39"/>
      <c r="C1078" s="37"/>
      <c r="D1078" s="37"/>
      <c r="E1078" s="38"/>
    </row>
    <row r="1079" spans="1:5" ht="18">
      <c r="A1079" s="39"/>
      <c r="C1079" s="37"/>
      <c r="D1079" s="37"/>
      <c r="E1079" s="38"/>
    </row>
    <row r="1080" spans="1:5" ht="18">
      <c r="A1080" s="39"/>
      <c r="C1080" s="37"/>
      <c r="D1080" s="37"/>
      <c r="E1080" s="38"/>
    </row>
    <row r="1081" spans="1:5" ht="18">
      <c r="A1081" s="39"/>
      <c r="C1081" s="37"/>
      <c r="D1081" s="37"/>
      <c r="E1081" s="38"/>
    </row>
    <row r="1082" spans="1:5" ht="18">
      <c r="A1082" s="39"/>
      <c r="C1082" s="37"/>
      <c r="D1082" s="37"/>
      <c r="E1082" s="38"/>
    </row>
    <row r="1083" spans="1:5" ht="18">
      <c r="A1083" s="39"/>
      <c r="C1083" s="37"/>
      <c r="D1083" s="37"/>
      <c r="E1083" s="38"/>
    </row>
    <row r="1084" spans="1:5" ht="18">
      <c r="A1084" s="39"/>
      <c r="C1084" s="37"/>
      <c r="D1084" s="37"/>
      <c r="E1084" s="38"/>
    </row>
    <row r="1085" spans="1:5" ht="18">
      <c r="A1085" s="39"/>
      <c r="C1085" s="37"/>
      <c r="D1085" s="37"/>
      <c r="E1085" s="38"/>
    </row>
    <row r="1086" spans="3:5" ht="18">
      <c r="C1086" s="37"/>
      <c r="D1086" s="37"/>
      <c r="E1086" s="38"/>
    </row>
    <row r="1087" spans="3:5" ht="18">
      <c r="C1087" s="37"/>
      <c r="D1087" s="37"/>
      <c r="E1087" s="38"/>
    </row>
    <row r="1088" spans="3:5" ht="18">
      <c r="C1088" s="37"/>
      <c r="D1088" s="37"/>
      <c r="E1088" s="38"/>
    </row>
    <row r="1089" spans="3:5" ht="18">
      <c r="C1089" s="37"/>
      <c r="D1089" s="37"/>
      <c r="E1089" s="38"/>
    </row>
    <row r="1090" spans="3:5" ht="18">
      <c r="C1090" s="37"/>
      <c r="D1090" s="37"/>
      <c r="E1090" s="38"/>
    </row>
    <row r="1091" spans="3:5" ht="18">
      <c r="C1091" s="37"/>
      <c r="D1091" s="37"/>
      <c r="E1091" s="38"/>
    </row>
    <row r="1092" spans="3:5" ht="18">
      <c r="C1092" s="37"/>
      <c r="D1092" s="37"/>
      <c r="E1092" s="38"/>
    </row>
    <row r="1093" spans="3:5" ht="18">
      <c r="C1093" s="37"/>
      <c r="D1093" s="37"/>
      <c r="E1093" s="38"/>
    </row>
    <row r="1094" spans="3:5" ht="18">
      <c r="C1094" s="37"/>
      <c r="D1094" s="37"/>
      <c r="E1094" s="38"/>
    </row>
    <row r="1095" spans="3:5" ht="18">
      <c r="C1095" s="37"/>
      <c r="D1095" s="37"/>
      <c r="E1095" s="38"/>
    </row>
    <row r="1096" spans="3:5" ht="18">
      <c r="C1096" s="37"/>
      <c r="D1096" s="37"/>
      <c r="E1096" s="38"/>
    </row>
    <row r="1097" spans="3:5" ht="18">
      <c r="C1097" s="37"/>
      <c r="D1097" s="37"/>
      <c r="E1097" s="38"/>
    </row>
    <row r="1098" spans="3:5" ht="18">
      <c r="C1098" s="37"/>
      <c r="D1098" s="37"/>
      <c r="E1098" s="38"/>
    </row>
    <row r="1099" spans="3:5" ht="18">
      <c r="C1099" s="37"/>
      <c r="D1099" s="37"/>
      <c r="E1099" s="38"/>
    </row>
    <row r="1100" spans="3:5" ht="18">
      <c r="C1100" s="37"/>
      <c r="D1100" s="37"/>
      <c r="E1100" s="38"/>
    </row>
    <row r="1101" spans="3:5" ht="18">
      <c r="C1101" s="37"/>
      <c r="D1101" s="37"/>
      <c r="E1101" s="38"/>
    </row>
    <row r="1102" spans="3:5" ht="18">
      <c r="C1102" s="37"/>
      <c r="D1102" s="37"/>
      <c r="E1102" s="38"/>
    </row>
    <row r="1103" spans="3:5" ht="18">
      <c r="C1103" s="37"/>
      <c r="D1103" s="37"/>
      <c r="E1103" s="38"/>
    </row>
    <row r="1104" spans="3:5" ht="18">
      <c r="C1104" s="37"/>
      <c r="D1104" s="37"/>
      <c r="E1104" s="38"/>
    </row>
    <row r="1105" spans="3:5" ht="18">
      <c r="C1105" s="37"/>
      <c r="D1105" s="37"/>
      <c r="E1105" s="38"/>
    </row>
    <row r="1106" spans="3:5" ht="18">
      <c r="C1106" s="37"/>
      <c r="D1106" s="37"/>
      <c r="E1106" s="38"/>
    </row>
    <row r="1107" spans="3:5" ht="18">
      <c r="C1107" s="37"/>
      <c r="D1107" s="37"/>
      <c r="E1107" s="38"/>
    </row>
    <row r="1108" ht="18">
      <c r="E1108" s="38"/>
    </row>
    <row r="1109" ht="18">
      <c r="E1109" s="38"/>
    </row>
    <row r="1110" ht="18">
      <c r="E1110" s="38"/>
    </row>
    <row r="1111" ht="18">
      <c r="E1111" s="38"/>
    </row>
    <row r="1112" ht="18">
      <c r="E1112" s="38"/>
    </row>
    <row r="1113" ht="18">
      <c r="E1113" s="38"/>
    </row>
    <row r="1114" ht="18">
      <c r="E1114" s="38"/>
    </row>
    <row r="1115" ht="18">
      <c r="E1115" s="38"/>
    </row>
    <row r="1116" ht="18">
      <c r="E1116" s="38"/>
    </row>
    <row r="1117" ht="18">
      <c r="E1117" s="38"/>
    </row>
    <row r="1118" ht="18">
      <c r="E1118" s="38"/>
    </row>
    <row r="1119" ht="18">
      <c r="E1119" s="38"/>
    </row>
    <row r="1120" ht="18">
      <c r="E1120" s="38"/>
    </row>
    <row r="1121" ht="18">
      <c r="E1121" s="38"/>
    </row>
    <row r="1122" ht="18">
      <c r="E1122" s="38"/>
    </row>
    <row r="1123" ht="18">
      <c r="E1123" s="38"/>
    </row>
    <row r="1124" ht="18">
      <c r="E1124" s="38"/>
    </row>
    <row r="1125" ht="18">
      <c r="E1125" s="38"/>
    </row>
    <row r="1126" ht="18">
      <c r="E1126" s="38"/>
    </row>
    <row r="1127" ht="18">
      <c r="E1127" s="38"/>
    </row>
    <row r="1128" ht="18">
      <c r="E1128" s="38"/>
    </row>
    <row r="1129" ht="18">
      <c r="E1129" s="38"/>
    </row>
    <row r="1130" ht="18">
      <c r="E1130" s="38"/>
    </row>
    <row r="1131" ht="18">
      <c r="E1131" s="38"/>
    </row>
    <row r="1132" ht="18">
      <c r="E1132" s="38"/>
    </row>
    <row r="1133" ht="18">
      <c r="E1133" s="38"/>
    </row>
    <row r="1134" ht="18">
      <c r="E1134" s="38"/>
    </row>
    <row r="1135" ht="18">
      <c r="E1135" s="38"/>
    </row>
    <row r="1136" ht="18">
      <c r="E1136" s="38"/>
    </row>
    <row r="1137" ht="18">
      <c r="E1137" s="38"/>
    </row>
    <row r="1138" ht="18">
      <c r="E1138" s="38"/>
    </row>
    <row r="1139" ht="18">
      <c r="E1139" s="38"/>
    </row>
    <row r="1140" ht="18">
      <c r="E1140" s="38"/>
    </row>
    <row r="1141" ht="18">
      <c r="E1141" s="38"/>
    </row>
    <row r="1142" ht="18">
      <c r="E1142" s="38"/>
    </row>
    <row r="1143" ht="18">
      <c r="E1143" s="38"/>
    </row>
    <row r="1144" ht="18">
      <c r="E1144" s="38"/>
    </row>
    <row r="1145" ht="18">
      <c r="E1145" s="38"/>
    </row>
    <row r="1146" ht="18">
      <c r="E1146" s="38"/>
    </row>
    <row r="1147" ht="18">
      <c r="E1147" s="38"/>
    </row>
    <row r="1148" ht="18">
      <c r="E1148" s="38"/>
    </row>
    <row r="1149" ht="18">
      <c r="E1149" s="38"/>
    </row>
    <row r="1150" ht="18">
      <c r="E1150" s="38"/>
    </row>
    <row r="1151" ht="18">
      <c r="E1151" s="38"/>
    </row>
    <row r="1152" ht="18">
      <c r="E1152" s="38"/>
    </row>
    <row r="1153" ht="18">
      <c r="E1153" s="38"/>
    </row>
    <row r="1154" ht="18">
      <c r="E1154" s="38"/>
    </row>
    <row r="1155" ht="18">
      <c r="E1155" s="38"/>
    </row>
    <row r="1156" ht="18">
      <c r="E1156" s="38"/>
    </row>
    <row r="1157" ht="18">
      <c r="E1157" s="38"/>
    </row>
  </sheetData>
  <sheetProtection/>
  <mergeCells count="1">
    <mergeCell ref="A1:E1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landscape" paperSize="9" scale="49" r:id="rId1"/>
  <headerFooter alignWithMargins="0">
    <oddFooter>&amp;C&amp;Pz11</oddFooter>
  </headerFooter>
  <rowBreaks count="10" manualBreakCount="10">
    <brk id="52" max="6" man="1"/>
    <brk id="102" max="6" man="1"/>
    <brk id="152" max="6" man="1"/>
    <brk id="203" max="6" man="1"/>
    <brk id="254" max="6" man="1"/>
    <brk id="300" max="6" man="1"/>
    <brk id="359" max="6" man="1"/>
    <brk id="407" max="6" man="1"/>
    <brk id="457" max="6" man="1"/>
    <brk id="50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ySplit="4" topLeftCell="A62" activePane="bottomLeft" state="frozen"/>
      <selection pane="topLeft" activeCell="A1" sqref="A1"/>
      <selection pane="bottomLeft" activeCell="C76" sqref="C76"/>
    </sheetView>
  </sheetViews>
  <sheetFormatPr defaultColWidth="9.00390625" defaultRowHeight="12.75"/>
  <cols>
    <col min="1" max="1" width="6.00390625" style="198" customWidth="1"/>
    <col min="2" max="2" width="9.125" style="198" customWidth="1"/>
    <col min="3" max="3" width="30.00390625" style="198" customWidth="1"/>
    <col min="4" max="4" width="13.125" style="198" customWidth="1"/>
    <col min="5" max="5" width="13.25390625" style="198" customWidth="1"/>
    <col min="6" max="6" width="12.25390625" style="198" customWidth="1"/>
    <col min="7" max="7" width="16.25390625" style="198" customWidth="1"/>
    <col min="8" max="8" width="14.00390625" style="198" customWidth="1"/>
    <col min="9" max="9" width="15.75390625" style="198" customWidth="1"/>
    <col min="10" max="10" width="12.00390625" style="198" customWidth="1"/>
    <col min="11" max="16384" width="9.125" style="198" customWidth="1"/>
  </cols>
  <sheetData>
    <row r="1" spans="1:10" ht="12.75">
      <c r="A1" s="366" t="s">
        <v>0</v>
      </c>
      <c r="B1" s="366" t="s">
        <v>1</v>
      </c>
      <c r="C1" s="366" t="s">
        <v>489</v>
      </c>
      <c r="D1" s="363" t="s">
        <v>391</v>
      </c>
      <c r="E1" s="364"/>
      <c r="F1" s="365"/>
      <c r="G1" s="363" t="s">
        <v>557</v>
      </c>
      <c r="H1" s="364"/>
      <c r="I1" s="365"/>
      <c r="J1" s="358" t="s">
        <v>558</v>
      </c>
    </row>
    <row r="2" spans="1:10" ht="12.75">
      <c r="A2" s="367"/>
      <c r="B2" s="367"/>
      <c r="C2" s="367"/>
      <c r="D2" s="366" t="s">
        <v>381</v>
      </c>
      <c r="E2" s="363" t="s">
        <v>382</v>
      </c>
      <c r="F2" s="365"/>
      <c r="G2" s="366" t="s">
        <v>381</v>
      </c>
      <c r="H2" s="363" t="s">
        <v>382</v>
      </c>
      <c r="I2" s="365"/>
      <c r="J2" s="359"/>
    </row>
    <row r="3" spans="1:10" ht="12.75">
      <c r="A3" s="367"/>
      <c r="B3" s="367"/>
      <c r="C3" s="367"/>
      <c r="D3" s="367"/>
      <c r="E3" s="208" t="s">
        <v>389</v>
      </c>
      <c r="F3" s="208" t="s">
        <v>390</v>
      </c>
      <c r="G3" s="367"/>
      <c r="H3" s="208" t="s">
        <v>389</v>
      </c>
      <c r="I3" s="208" t="s">
        <v>390</v>
      </c>
      <c r="J3" s="360"/>
    </row>
    <row r="4" spans="1:10" ht="13.5" customHeight="1">
      <c r="A4" s="203">
        <v>1</v>
      </c>
      <c r="B4" s="204">
        <v>2</v>
      </c>
      <c r="C4" s="205">
        <v>3</v>
      </c>
      <c r="D4" s="202" t="s">
        <v>394</v>
      </c>
      <c r="E4" s="202">
        <v>5</v>
      </c>
      <c r="F4" s="289">
        <v>6</v>
      </c>
      <c r="G4" s="202" t="s">
        <v>559</v>
      </c>
      <c r="H4" s="202">
        <v>8</v>
      </c>
      <c r="I4" s="289">
        <v>9</v>
      </c>
      <c r="J4" s="216" t="s">
        <v>560</v>
      </c>
    </row>
    <row r="5" spans="1:10" ht="12.75">
      <c r="A5" s="284" t="s">
        <v>7</v>
      </c>
      <c r="B5" s="285"/>
      <c r="C5" s="286" t="s">
        <v>8</v>
      </c>
      <c r="D5" s="287">
        <f aca="true" t="shared" si="0" ref="D5:I5">SUM(D6:D10)</f>
        <v>3056417</v>
      </c>
      <c r="E5" s="287">
        <f t="shared" si="0"/>
        <v>220954</v>
      </c>
      <c r="F5" s="287">
        <f t="shared" si="0"/>
        <v>2835463</v>
      </c>
      <c r="G5" s="287">
        <f t="shared" si="0"/>
        <v>719086.05</v>
      </c>
      <c r="H5" s="287">
        <f t="shared" si="0"/>
        <v>141573.92</v>
      </c>
      <c r="I5" s="287">
        <f t="shared" si="0"/>
        <v>577512.13</v>
      </c>
      <c r="J5" s="288">
        <f aca="true" t="shared" si="1" ref="J5:J71">G5/D5*100</f>
        <v>23.5270923437476</v>
      </c>
    </row>
    <row r="6" spans="1:10" ht="12.75">
      <c r="A6" s="361"/>
      <c r="B6" s="290" t="s">
        <v>252</v>
      </c>
      <c r="C6" s="291" t="s">
        <v>253</v>
      </c>
      <c r="D6" s="292">
        <f>E6</f>
        <v>50000</v>
      </c>
      <c r="E6" s="292">
        <v>50000</v>
      </c>
      <c r="F6" s="293">
        <v>0</v>
      </c>
      <c r="G6" s="292">
        <f>H6</f>
        <v>0</v>
      </c>
      <c r="H6" s="292">
        <v>0</v>
      </c>
      <c r="I6" s="293">
        <v>0</v>
      </c>
      <c r="J6" s="293">
        <f t="shared" si="1"/>
        <v>0</v>
      </c>
    </row>
    <row r="7" spans="1:10" ht="12.75">
      <c r="A7" s="362"/>
      <c r="B7" s="290" t="s">
        <v>348</v>
      </c>
      <c r="C7" s="291" t="s">
        <v>349</v>
      </c>
      <c r="D7" s="292">
        <f aca="true" t="shared" si="2" ref="D7:D12">E7+F7</f>
        <v>8000</v>
      </c>
      <c r="E7" s="292">
        <v>8000</v>
      </c>
      <c r="F7" s="293">
        <v>0</v>
      </c>
      <c r="G7" s="292">
        <f aca="true" t="shared" si="3" ref="G7:G25">H7+I7</f>
        <v>0</v>
      </c>
      <c r="H7" s="292">
        <v>0</v>
      </c>
      <c r="I7" s="293">
        <v>0</v>
      </c>
      <c r="J7" s="293">
        <f t="shared" si="1"/>
        <v>0</v>
      </c>
    </row>
    <row r="8" spans="1:10" ht="25.5">
      <c r="A8" s="362"/>
      <c r="B8" s="290" t="s">
        <v>208</v>
      </c>
      <c r="C8" s="291" t="s">
        <v>209</v>
      </c>
      <c r="D8" s="292">
        <f t="shared" si="2"/>
        <v>2867632</v>
      </c>
      <c r="E8" s="292">
        <v>34169</v>
      </c>
      <c r="F8" s="293">
        <v>2833463</v>
      </c>
      <c r="G8" s="292">
        <f t="shared" si="3"/>
        <v>593205.51</v>
      </c>
      <c r="H8" s="292">
        <v>17693.38</v>
      </c>
      <c r="I8" s="293">
        <v>575512.13</v>
      </c>
      <c r="J8" s="293">
        <f t="shared" si="1"/>
        <v>20.68624949086912</v>
      </c>
    </row>
    <row r="9" spans="1:10" ht="12.75">
      <c r="A9" s="362"/>
      <c r="B9" s="290" t="s">
        <v>9</v>
      </c>
      <c r="C9" s="291" t="s">
        <v>10</v>
      </c>
      <c r="D9" s="292">
        <f t="shared" si="2"/>
        <v>5000</v>
      </c>
      <c r="E9" s="292">
        <v>5000</v>
      </c>
      <c r="F9" s="293">
        <v>0</v>
      </c>
      <c r="G9" s="292">
        <f>H9</f>
        <v>2775.68</v>
      </c>
      <c r="H9" s="292">
        <v>2775.68</v>
      </c>
      <c r="I9" s="293">
        <v>0</v>
      </c>
      <c r="J9" s="293">
        <f t="shared" si="1"/>
        <v>55.5136</v>
      </c>
    </row>
    <row r="10" spans="1:10" ht="12.75">
      <c r="A10" s="362"/>
      <c r="B10" s="290" t="s">
        <v>14</v>
      </c>
      <c r="C10" s="291" t="s">
        <v>15</v>
      </c>
      <c r="D10" s="292">
        <f t="shared" si="2"/>
        <v>125785</v>
      </c>
      <c r="E10" s="292">
        <v>123785</v>
      </c>
      <c r="F10" s="293">
        <v>2000</v>
      </c>
      <c r="G10" s="292">
        <f t="shared" si="3"/>
        <v>123104.86</v>
      </c>
      <c r="H10" s="292">
        <v>121104.86</v>
      </c>
      <c r="I10" s="293">
        <v>2000</v>
      </c>
      <c r="J10" s="293">
        <f t="shared" si="1"/>
        <v>97.86926899073816</v>
      </c>
    </row>
    <row r="11" spans="1:10" ht="12.75">
      <c r="A11" s="284" t="s">
        <v>18</v>
      </c>
      <c r="B11" s="285"/>
      <c r="C11" s="286" t="s">
        <v>19</v>
      </c>
      <c r="D11" s="287">
        <f t="shared" si="2"/>
        <v>205086</v>
      </c>
      <c r="E11" s="287">
        <f>E12</f>
        <v>205086</v>
      </c>
      <c r="F11" s="288">
        <f>F12</f>
        <v>0</v>
      </c>
      <c r="G11" s="287">
        <f t="shared" si="3"/>
        <v>108290.2</v>
      </c>
      <c r="H11" s="287">
        <f>H12</f>
        <v>108290.2</v>
      </c>
      <c r="I11" s="288">
        <f>I12</f>
        <v>0</v>
      </c>
      <c r="J11" s="288">
        <f t="shared" si="1"/>
        <v>52.802336580751486</v>
      </c>
    </row>
    <row r="12" spans="1:10" ht="12.75">
      <c r="A12" s="349"/>
      <c r="B12" s="290" t="s">
        <v>20</v>
      </c>
      <c r="C12" s="291" t="s">
        <v>21</v>
      </c>
      <c r="D12" s="292">
        <f t="shared" si="2"/>
        <v>205086</v>
      </c>
      <c r="E12" s="292">
        <v>205086</v>
      </c>
      <c r="F12" s="293">
        <v>0</v>
      </c>
      <c r="G12" s="292">
        <f t="shared" si="3"/>
        <v>108290.2</v>
      </c>
      <c r="H12" s="292">
        <v>108290.2</v>
      </c>
      <c r="I12" s="293">
        <v>0</v>
      </c>
      <c r="J12" s="293">
        <f t="shared" si="1"/>
        <v>52.802336580751486</v>
      </c>
    </row>
    <row r="13" spans="1:10" ht="12.75">
      <c r="A13" s="284" t="s">
        <v>40</v>
      </c>
      <c r="B13" s="285"/>
      <c r="C13" s="286" t="s">
        <v>41</v>
      </c>
      <c r="D13" s="287">
        <f aca="true" t="shared" si="4" ref="D13:I13">SUM(D14:D16)</f>
        <v>1404183</v>
      </c>
      <c r="E13" s="287">
        <f t="shared" si="4"/>
        <v>1299476</v>
      </c>
      <c r="F13" s="287">
        <f t="shared" si="4"/>
        <v>104707</v>
      </c>
      <c r="G13" s="287">
        <f t="shared" si="4"/>
        <v>44975.49</v>
      </c>
      <c r="H13" s="287">
        <f t="shared" si="4"/>
        <v>44975.49</v>
      </c>
      <c r="I13" s="287">
        <f t="shared" si="4"/>
        <v>0</v>
      </c>
      <c r="J13" s="288">
        <f t="shared" si="1"/>
        <v>3.2029649981519497</v>
      </c>
    </row>
    <row r="14" spans="1:10" ht="12.75">
      <c r="A14" s="361"/>
      <c r="B14" s="290" t="s">
        <v>204</v>
      </c>
      <c r="C14" s="291" t="s">
        <v>205</v>
      </c>
      <c r="D14" s="292">
        <f>E14+F14</f>
        <v>697707</v>
      </c>
      <c r="E14" s="292">
        <v>600000</v>
      </c>
      <c r="F14" s="293">
        <v>97707</v>
      </c>
      <c r="G14" s="292">
        <f>H14+I14</f>
        <v>0</v>
      </c>
      <c r="H14" s="292">
        <v>0</v>
      </c>
      <c r="I14" s="293">
        <v>0</v>
      </c>
      <c r="J14" s="293">
        <f t="shared" si="1"/>
        <v>0</v>
      </c>
    </row>
    <row r="15" spans="1:10" ht="12.75">
      <c r="A15" s="362"/>
      <c r="B15" s="290" t="s">
        <v>42</v>
      </c>
      <c r="C15" s="291" t="s">
        <v>43</v>
      </c>
      <c r="D15" s="292">
        <f>E15+F15</f>
        <v>483615</v>
      </c>
      <c r="E15" s="292">
        <v>476615</v>
      </c>
      <c r="F15" s="293">
        <v>7000</v>
      </c>
      <c r="G15" s="292">
        <f>H15+I15</f>
        <v>44975.49</v>
      </c>
      <c r="H15" s="292">
        <v>44975.49</v>
      </c>
      <c r="I15" s="293">
        <v>0</v>
      </c>
      <c r="J15" s="293">
        <f t="shared" si="1"/>
        <v>9.299854222883905</v>
      </c>
    </row>
    <row r="16" spans="1:10" ht="25.5">
      <c r="A16" s="362"/>
      <c r="B16" s="290" t="s">
        <v>46</v>
      </c>
      <c r="C16" s="291" t="s">
        <v>47</v>
      </c>
      <c r="D16" s="292">
        <f aca="true" t="shared" si="5" ref="D16:D26">E16+F16</f>
        <v>222861</v>
      </c>
      <c r="E16" s="292">
        <v>222861</v>
      </c>
      <c r="F16" s="293">
        <v>0</v>
      </c>
      <c r="G16" s="292">
        <f t="shared" si="3"/>
        <v>0</v>
      </c>
      <c r="H16" s="292">
        <v>0</v>
      </c>
      <c r="I16" s="293">
        <v>0</v>
      </c>
      <c r="J16" s="293">
        <f t="shared" si="1"/>
        <v>0</v>
      </c>
    </row>
    <row r="17" spans="1:10" ht="12.75">
      <c r="A17" s="284" t="s">
        <v>569</v>
      </c>
      <c r="B17" s="285"/>
      <c r="C17" s="286" t="s">
        <v>570</v>
      </c>
      <c r="D17" s="287">
        <f>E17+F17</f>
        <v>18000</v>
      </c>
      <c r="E17" s="287">
        <f>E18</f>
        <v>0</v>
      </c>
      <c r="F17" s="288">
        <f>F18</f>
        <v>18000</v>
      </c>
      <c r="G17" s="287">
        <f>H17+I17</f>
        <v>0</v>
      </c>
      <c r="H17" s="287">
        <f>H18</f>
        <v>0</v>
      </c>
      <c r="I17" s="288">
        <f>I18</f>
        <v>0</v>
      </c>
      <c r="J17" s="288">
        <f>G17/D17*100</f>
        <v>0</v>
      </c>
    </row>
    <row r="18" spans="1:10" ht="12.75">
      <c r="A18" s="349"/>
      <c r="B18" s="290" t="s">
        <v>571</v>
      </c>
      <c r="C18" s="291" t="s">
        <v>15</v>
      </c>
      <c r="D18" s="292">
        <f>E18+F18</f>
        <v>18000</v>
      </c>
      <c r="E18" s="292">
        <v>0</v>
      </c>
      <c r="F18" s="293">
        <v>18000</v>
      </c>
      <c r="G18" s="292">
        <f>H18+I18</f>
        <v>0</v>
      </c>
      <c r="H18" s="292">
        <v>0</v>
      </c>
      <c r="I18" s="293">
        <v>0</v>
      </c>
      <c r="J18" s="293">
        <f>G18/D18*100</f>
        <v>0</v>
      </c>
    </row>
    <row r="19" spans="1:10" ht="12.75">
      <c r="A19" s="284" t="s">
        <v>48</v>
      </c>
      <c r="B19" s="285"/>
      <c r="C19" s="286" t="s">
        <v>49</v>
      </c>
      <c r="D19" s="287">
        <f t="shared" si="5"/>
        <v>125000</v>
      </c>
      <c r="E19" s="287">
        <f>E20</f>
        <v>125000</v>
      </c>
      <c r="F19" s="288">
        <f>F20</f>
        <v>0</v>
      </c>
      <c r="G19" s="287">
        <f t="shared" si="3"/>
        <v>13547.97</v>
      </c>
      <c r="H19" s="287">
        <f>H20</f>
        <v>13547.97</v>
      </c>
      <c r="I19" s="288">
        <f>I20</f>
        <v>0</v>
      </c>
      <c r="J19" s="288">
        <f t="shared" si="1"/>
        <v>10.838376</v>
      </c>
    </row>
    <row r="20" spans="1:10" ht="25.5">
      <c r="A20" s="349"/>
      <c r="B20" s="290" t="s">
        <v>50</v>
      </c>
      <c r="C20" s="291" t="s">
        <v>51</v>
      </c>
      <c r="D20" s="292">
        <f t="shared" si="5"/>
        <v>125000</v>
      </c>
      <c r="E20" s="292">
        <v>125000</v>
      </c>
      <c r="F20" s="293">
        <v>0</v>
      </c>
      <c r="G20" s="292">
        <f t="shared" si="3"/>
        <v>13547.97</v>
      </c>
      <c r="H20" s="292">
        <v>13547.97</v>
      </c>
      <c r="I20" s="293">
        <v>0</v>
      </c>
      <c r="J20" s="293">
        <f t="shared" si="1"/>
        <v>10.838376</v>
      </c>
    </row>
    <row r="21" spans="1:10" ht="12.75">
      <c r="A21" s="284" t="s">
        <v>344</v>
      </c>
      <c r="B21" s="285"/>
      <c r="C21" s="286" t="s">
        <v>345</v>
      </c>
      <c r="D21" s="287">
        <f t="shared" si="5"/>
        <v>32120</v>
      </c>
      <c r="E21" s="287">
        <f>E22</f>
        <v>0</v>
      </c>
      <c r="F21" s="288">
        <f>F22</f>
        <v>32120</v>
      </c>
      <c r="G21" s="287">
        <f t="shared" si="3"/>
        <v>0</v>
      </c>
      <c r="H21" s="287">
        <f>H22</f>
        <v>0</v>
      </c>
      <c r="I21" s="288">
        <f>I22</f>
        <v>0</v>
      </c>
      <c r="J21" s="288">
        <f t="shared" si="1"/>
        <v>0</v>
      </c>
    </row>
    <row r="22" spans="1:10" ht="12.75">
      <c r="A22" s="349"/>
      <c r="B22" s="290" t="s">
        <v>346</v>
      </c>
      <c r="C22" s="291" t="s">
        <v>15</v>
      </c>
      <c r="D22" s="292">
        <f t="shared" si="5"/>
        <v>32120</v>
      </c>
      <c r="E22" s="292">
        <v>0</v>
      </c>
      <c r="F22" s="293">
        <v>32120</v>
      </c>
      <c r="G22" s="292">
        <f t="shared" si="3"/>
        <v>0</v>
      </c>
      <c r="H22" s="292">
        <v>0</v>
      </c>
      <c r="I22" s="293">
        <v>0</v>
      </c>
      <c r="J22" s="293">
        <f t="shared" si="1"/>
        <v>0</v>
      </c>
    </row>
    <row r="23" spans="1:10" ht="12.75">
      <c r="A23" s="284" t="s">
        <v>55</v>
      </c>
      <c r="B23" s="285"/>
      <c r="C23" s="286" t="s">
        <v>396</v>
      </c>
      <c r="D23" s="287">
        <f aca="true" t="shared" si="6" ref="D23:I23">SUM(D24:D28)</f>
        <v>1836986</v>
      </c>
      <c r="E23" s="287">
        <f t="shared" si="6"/>
        <v>1829106</v>
      </c>
      <c r="F23" s="287">
        <f t="shared" si="6"/>
        <v>7880</v>
      </c>
      <c r="G23" s="287">
        <f t="shared" si="6"/>
        <v>894320.1499999999</v>
      </c>
      <c r="H23" s="287">
        <f t="shared" si="6"/>
        <v>892462.1499999999</v>
      </c>
      <c r="I23" s="287">
        <f t="shared" si="6"/>
        <v>1858</v>
      </c>
      <c r="J23" s="288">
        <f t="shared" si="1"/>
        <v>48.68410265511005</v>
      </c>
    </row>
    <row r="24" spans="1:10" ht="12.75">
      <c r="A24" s="361"/>
      <c r="B24" s="290" t="s">
        <v>57</v>
      </c>
      <c r="C24" s="291" t="s">
        <v>397</v>
      </c>
      <c r="D24" s="292">
        <f t="shared" si="5"/>
        <v>148042</v>
      </c>
      <c r="E24" s="292">
        <v>148042</v>
      </c>
      <c r="F24" s="293">
        <v>0</v>
      </c>
      <c r="G24" s="292">
        <f t="shared" si="3"/>
        <v>72226.73</v>
      </c>
      <c r="H24" s="292">
        <v>72226.73</v>
      </c>
      <c r="I24" s="293">
        <v>0</v>
      </c>
      <c r="J24" s="293">
        <f t="shared" si="1"/>
        <v>48.78799935153537</v>
      </c>
    </row>
    <row r="25" spans="1:10" ht="12.75">
      <c r="A25" s="362"/>
      <c r="B25" s="290" t="s">
        <v>60</v>
      </c>
      <c r="C25" s="291" t="s">
        <v>61</v>
      </c>
      <c r="D25" s="292">
        <f t="shared" si="5"/>
        <v>37930</v>
      </c>
      <c r="E25" s="292">
        <v>37930</v>
      </c>
      <c r="F25" s="293">
        <v>0</v>
      </c>
      <c r="G25" s="292">
        <f t="shared" si="3"/>
        <v>20150.1</v>
      </c>
      <c r="H25" s="292">
        <v>20150.1</v>
      </c>
      <c r="I25" s="293">
        <v>0</v>
      </c>
      <c r="J25" s="293">
        <f t="shared" si="1"/>
        <v>53.12443975744793</v>
      </c>
    </row>
    <row r="26" spans="1:10" ht="12.75">
      <c r="A26" s="362"/>
      <c r="B26" s="290" t="s">
        <v>64</v>
      </c>
      <c r="C26" s="291" t="s">
        <v>65</v>
      </c>
      <c r="D26" s="292">
        <f t="shared" si="5"/>
        <v>1608214</v>
      </c>
      <c r="E26" s="292">
        <v>1600334</v>
      </c>
      <c r="F26" s="293">
        <v>7880</v>
      </c>
      <c r="G26" s="292">
        <f aca="true" t="shared" si="7" ref="G26:G35">H26+I26</f>
        <v>774996.24</v>
      </c>
      <c r="H26" s="292">
        <v>773138.24</v>
      </c>
      <c r="I26" s="293">
        <v>1858</v>
      </c>
      <c r="J26" s="293">
        <f t="shared" si="1"/>
        <v>48.18987025358565</v>
      </c>
    </row>
    <row r="27" spans="1:10" ht="25.5">
      <c r="A27" s="362"/>
      <c r="B27" s="290" t="s">
        <v>179</v>
      </c>
      <c r="C27" s="291" t="s">
        <v>180</v>
      </c>
      <c r="D27" s="292">
        <f aca="true" t="shared" si="8" ref="D27:D33">E27+F27</f>
        <v>27800</v>
      </c>
      <c r="E27" s="292">
        <v>27800</v>
      </c>
      <c r="F27" s="293">
        <v>0</v>
      </c>
      <c r="G27" s="292">
        <f t="shared" si="7"/>
        <v>19133.86</v>
      </c>
      <c r="H27" s="292">
        <v>19133.86</v>
      </c>
      <c r="I27" s="293">
        <v>0</v>
      </c>
      <c r="J27" s="293">
        <f t="shared" si="1"/>
        <v>68.82683453237411</v>
      </c>
    </row>
    <row r="28" spans="1:10" ht="12.75">
      <c r="A28" s="362"/>
      <c r="B28" s="290" t="s">
        <v>76</v>
      </c>
      <c r="C28" s="291" t="s">
        <v>15</v>
      </c>
      <c r="D28" s="292">
        <f t="shared" si="8"/>
        <v>15000</v>
      </c>
      <c r="E28" s="292">
        <v>15000</v>
      </c>
      <c r="F28" s="293">
        <v>0</v>
      </c>
      <c r="G28" s="292">
        <f t="shared" si="7"/>
        <v>7813.22</v>
      </c>
      <c r="H28" s="292">
        <v>7813.22</v>
      </c>
      <c r="I28" s="293">
        <v>0</v>
      </c>
      <c r="J28" s="293">
        <f t="shared" si="1"/>
        <v>52.08813333333333</v>
      </c>
    </row>
    <row r="29" spans="1:10" ht="38.25">
      <c r="A29" s="284" t="s">
        <v>77</v>
      </c>
      <c r="B29" s="285"/>
      <c r="C29" s="286" t="s">
        <v>398</v>
      </c>
      <c r="D29" s="287">
        <f aca="true" t="shared" si="9" ref="D29:I29">SUM(D30:D31)</f>
        <v>25964</v>
      </c>
      <c r="E29" s="287">
        <f t="shared" si="9"/>
        <v>25964</v>
      </c>
      <c r="F29" s="287">
        <f t="shared" si="9"/>
        <v>0</v>
      </c>
      <c r="G29" s="287">
        <f t="shared" si="9"/>
        <v>15483.4</v>
      </c>
      <c r="H29" s="287">
        <f t="shared" si="9"/>
        <v>15483.4</v>
      </c>
      <c r="I29" s="287">
        <f t="shared" si="9"/>
        <v>0</v>
      </c>
      <c r="J29" s="288">
        <f t="shared" si="1"/>
        <v>59.634108765983676</v>
      </c>
    </row>
    <row r="30" spans="1:10" ht="38.25">
      <c r="A30" s="361"/>
      <c r="B30" s="290" t="s">
        <v>80</v>
      </c>
      <c r="C30" s="291" t="s">
        <v>399</v>
      </c>
      <c r="D30" s="292">
        <f t="shared" si="8"/>
        <v>944</v>
      </c>
      <c r="E30" s="292">
        <v>944</v>
      </c>
      <c r="F30" s="293">
        <v>0</v>
      </c>
      <c r="G30" s="292">
        <f t="shared" si="7"/>
        <v>469.39</v>
      </c>
      <c r="H30" s="292">
        <v>469.39</v>
      </c>
      <c r="I30" s="293">
        <v>0</v>
      </c>
      <c r="J30" s="293">
        <f t="shared" si="1"/>
        <v>49.72351694915254</v>
      </c>
    </row>
    <row r="31" spans="1:10" ht="25.5">
      <c r="A31" s="371"/>
      <c r="B31" s="290" t="s">
        <v>561</v>
      </c>
      <c r="C31" s="291" t="s">
        <v>562</v>
      </c>
      <c r="D31" s="292">
        <f>E31+F31</f>
        <v>25020</v>
      </c>
      <c r="E31" s="292">
        <v>25020</v>
      </c>
      <c r="F31" s="293">
        <v>0</v>
      </c>
      <c r="G31" s="292">
        <f>H31+I31</f>
        <v>15014.01</v>
      </c>
      <c r="H31" s="292">
        <v>15014.01</v>
      </c>
      <c r="I31" s="293">
        <v>0</v>
      </c>
      <c r="J31" s="293">
        <f t="shared" si="1"/>
        <v>60.00803357314148</v>
      </c>
    </row>
    <row r="32" spans="1:10" ht="25.5">
      <c r="A32" s="284" t="s">
        <v>83</v>
      </c>
      <c r="B32" s="285"/>
      <c r="C32" s="286" t="s">
        <v>400</v>
      </c>
      <c r="D32" s="287">
        <f aca="true" t="shared" si="10" ref="D32:I32">SUM(D33:D36)</f>
        <v>1176135</v>
      </c>
      <c r="E32" s="287">
        <f t="shared" si="10"/>
        <v>248300</v>
      </c>
      <c r="F32" s="287">
        <f t="shared" si="10"/>
        <v>927835</v>
      </c>
      <c r="G32" s="287">
        <f t="shared" si="10"/>
        <v>187642.08999999997</v>
      </c>
      <c r="H32" s="287">
        <f t="shared" si="10"/>
        <v>177642.09</v>
      </c>
      <c r="I32" s="287">
        <f t="shared" si="10"/>
        <v>10000</v>
      </c>
      <c r="J32" s="288">
        <f t="shared" si="1"/>
        <v>15.954128565173212</v>
      </c>
    </row>
    <row r="33" spans="1:10" ht="25.5">
      <c r="A33" s="361"/>
      <c r="B33" s="290" t="s">
        <v>563</v>
      </c>
      <c r="C33" s="291" t="s">
        <v>564</v>
      </c>
      <c r="D33" s="292">
        <f t="shared" si="8"/>
        <v>10000</v>
      </c>
      <c r="E33" s="292">
        <v>0</v>
      </c>
      <c r="F33" s="293">
        <v>10000</v>
      </c>
      <c r="G33" s="292">
        <f>H33+I33</f>
        <v>10000</v>
      </c>
      <c r="H33" s="292">
        <v>0</v>
      </c>
      <c r="I33" s="293">
        <v>10000</v>
      </c>
      <c r="J33" s="293">
        <f t="shared" si="1"/>
        <v>100</v>
      </c>
    </row>
    <row r="34" spans="1:10" ht="12.75">
      <c r="A34" s="371"/>
      <c r="B34" s="207" t="s">
        <v>86</v>
      </c>
      <c r="C34" s="294" t="s">
        <v>87</v>
      </c>
      <c r="D34" s="268">
        <f>E34+F34</f>
        <v>1035935</v>
      </c>
      <c r="E34" s="268">
        <v>118100</v>
      </c>
      <c r="F34" s="269">
        <v>917835</v>
      </c>
      <c r="G34" s="268">
        <f>H34+I34</f>
        <v>60764.43</v>
      </c>
      <c r="H34" s="268">
        <v>60764.43</v>
      </c>
      <c r="I34" s="269">
        <v>0</v>
      </c>
      <c r="J34" s="293">
        <f t="shared" si="1"/>
        <v>5.8656604902817255</v>
      </c>
    </row>
    <row r="35" spans="1:10" ht="12.75">
      <c r="A35" s="362"/>
      <c r="B35" s="290" t="s">
        <v>284</v>
      </c>
      <c r="C35" s="291" t="s">
        <v>285</v>
      </c>
      <c r="D35" s="292">
        <f aca="true" t="shared" si="11" ref="D35:D44">E35+F35</f>
        <v>200</v>
      </c>
      <c r="E35" s="292">
        <v>200</v>
      </c>
      <c r="F35" s="293">
        <v>0</v>
      </c>
      <c r="G35" s="292">
        <f t="shared" si="7"/>
        <v>19.98</v>
      </c>
      <c r="H35" s="292">
        <v>19.98</v>
      </c>
      <c r="I35" s="293">
        <v>0</v>
      </c>
      <c r="J35" s="293">
        <f t="shared" si="1"/>
        <v>9.99</v>
      </c>
    </row>
    <row r="36" spans="1:10" ht="25.5">
      <c r="A36" s="362"/>
      <c r="B36" s="207" t="s">
        <v>286</v>
      </c>
      <c r="C36" s="294" t="s">
        <v>47</v>
      </c>
      <c r="D36" s="268">
        <f t="shared" si="11"/>
        <v>130000</v>
      </c>
      <c r="E36" s="268">
        <v>130000</v>
      </c>
      <c r="F36" s="269">
        <v>0</v>
      </c>
      <c r="G36" s="268">
        <f aca="true" t="shared" si="12" ref="G36:G42">H36+I36</f>
        <v>116857.68</v>
      </c>
      <c r="H36" s="268">
        <v>116857.68</v>
      </c>
      <c r="I36" s="269">
        <v>0</v>
      </c>
      <c r="J36" s="293">
        <f t="shared" si="1"/>
        <v>89.89052307692307</v>
      </c>
    </row>
    <row r="37" spans="1:10" ht="25.5">
      <c r="A37" s="284" t="s">
        <v>173</v>
      </c>
      <c r="B37" s="285"/>
      <c r="C37" s="286" t="s">
        <v>176</v>
      </c>
      <c r="D37" s="287">
        <f t="shared" si="11"/>
        <v>42500</v>
      </c>
      <c r="E37" s="287">
        <f>E38</f>
        <v>42500</v>
      </c>
      <c r="F37" s="288">
        <f>F38</f>
        <v>0</v>
      </c>
      <c r="G37" s="287">
        <f t="shared" si="12"/>
        <v>21193.22</v>
      </c>
      <c r="H37" s="287">
        <f>H38</f>
        <v>21193.22</v>
      </c>
      <c r="I37" s="288">
        <f>I38</f>
        <v>0</v>
      </c>
      <c r="J37" s="288">
        <f t="shared" si="1"/>
        <v>49.866400000000006</v>
      </c>
    </row>
    <row r="38" spans="1:10" ht="38.25">
      <c r="A38" s="349"/>
      <c r="B38" s="290" t="s">
        <v>174</v>
      </c>
      <c r="C38" s="291" t="s">
        <v>175</v>
      </c>
      <c r="D38" s="292">
        <f t="shared" si="11"/>
        <v>42500</v>
      </c>
      <c r="E38" s="292">
        <v>42500</v>
      </c>
      <c r="F38" s="293">
        <v>0</v>
      </c>
      <c r="G38" s="292">
        <f t="shared" si="12"/>
        <v>21193.22</v>
      </c>
      <c r="H38" s="292">
        <v>21193.22</v>
      </c>
      <c r="I38" s="293">
        <v>0</v>
      </c>
      <c r="J38" s="293">
        <f t="shared" si="1"/>
        <v>49.866400000000006</v>
      </c>
    </row>
    <row r="39" spans="1:10" ht="12.75">
      <c r="A39" s="284" t="s">
        <v>197</v>
      </c>
      <c r="B39" s="285"/>
      <c r="C39" s="286" t="s">
        <v>198</v>
      </c>
      <c r="D39" s="287">
        <f t="shared" si="11"/>
        <v>50000</v>
      </c>
      <c r="E39" s="287">
        <f>E40</f>
        <v>50000</v>
      </c>
      <c r="F39" s="288">
        <f>F40</f>
        <v>0</v>
      </c>
      <c r="G39" s="287">
        <f t="shared" si="12"/>
        <v>15572.55</v>
      </c>
      <c r="H39" s="287">
        <f>H40</f>
        <v>15572.55</v>
      </c>
      <c r="I39" s="288">
        <f>I40</f>
        <v>0</v>
      </c>
      <c r="J39" s="288">
        <f t="shared" si="1"/>
        <v>31.1451</v>
      </c>
    </row>
    <row r="40" spans="1:10" ht="38.25">
      <c r="A40" s="349"/>
      <c r="B40" s="295" t="s">
        <v>199</v>
      </c>
      <c r="C40" s="294" t="s">
        <v>401</v>
      </c>
      <c r="D40" s="268">
        <f t="shared" si="11"/>
        <v>50000</v>
      </c>
      <c r="E40" s="268">
        <v>50000</v>
      </c>
      <c r="F40" s="269">
        <v>0</v>
      </c>
      <c r="G40" s="268">
        <f t="shared" si="12"/>
        <v>15572.55</v>
      </c>
      <c r="H40" s="268">
        <v>15572.55</v>
      </c>
      <c r="I40" s="269">
        <v>0</v>
      </c>
      <c r="J40" s="293">
        <f t="shared" si="1"/>
        <v>31.1451</v>
      </c>
    </row>
    <row r="41" spans="1:10" ht="12.75">
      <c r="A41" s="284" t="s">
        <v>90</v>
      </c>
      <c r="B41" s="285"/>
      <c r="C41" s="286" t="s">
        <v>91</v>
      </c>
      <c r="D41" s="287">
        <f t="shared" si="11"/>
        <v>30185</v>
      </c>
      <c r="E41" s="287">
        <f>E42</f>
        <v>30185</v>
      </c>
      <c r="F41" s="288">
        <f>F42</f>
        <v>0</v>
      </c>
      <c r="G41" s="287">
        <f t="shared" si="12"/>
        <v>0</v>
      </c>
      <c r="H41" s="287">
        <f>H42</f>
        <v>0</v>
      </c>
      <c r="I41" s="288">
        <f>I42</f>
        <v>0</v>
      </c>
      <c r="J41" s="288">
        <f t="shared" si="1"/>
        <v>0</v>
      </c>
    </row>
    <row r="42" spans="1:10" ht="12.75">
      <c r="A42" s="349"/>
      <c r="B42" s="290" t="s">
        <v>92</v>
      </c>
      <c r="C42" s="291" t="s">
        <v>402</v>
      </c>
      <c r="D42" s="292">
        <f t="shared" si="11"/>
        <v>30185</v>
      </c>
      <c r="E42" s="292">
        <v>30185</v>
      </c>
      <c r="F42" s="292">
        <v>0</v>
      </c>
      <c r="G42" s="292">
        <f t="shared" si="12"/>
        <v>0</v>
      </c>
      <c r="H42" s="292">
        <v>0</v>
      </c>
      <c r="I42" s="292">
        <v>0</v>
      </c>
      <c r="J42" s="293">
        <f t="shared" si="1"/>
        <v>0</v>
      </c>
    </row>
    <row r="43" spans="1:10" ht="12.75">
      <c r="A43" s="284" t="s">
        <v>96</v>
      </c>
      <c r="B43" s="285"/>
      <c r="C43" s="286" t="s">
        <v>384</v>
      </c>
      <c r="D43" s="287">
        <f aca="true" t="shared" si="13" ref="D43:I43">SUM(D44:D50)</f>
        <v>6699378</v>
      </c>
      <c r="E43" s="287">
        <f t="shared" si="13"/>
        <v>5470578</v>
      </c>
      <c r="F43" s="287">
        <f t="shared" si="13"/>
        <v>1228800</v>
      </c>
      <c r="G43" s="287">
        <f t="shared" si="13"/>
        <v>2884195.0899999994</v>
      </c>
      <c r="H43" s="287">
        <f t="shared" si="13"/>
        <v>2863211.0899999994</v>
      </c>
      <c r="I43" s="287">
        <f t="shared" si="13"/>
        <v>20984</v>
      </c>
      <c r="J43" s="288">
        <f t="shared" si="1"/>
        <v>43.05168464893307</v>
      </c>
    </row>
    <row r="44" spans="1:10" ht="12.75">
      <c r="A44" s="361"/>
      <c r="B44" s="290" t="s">
        <v>164</v>
      </c>
      <c r="C44" s="291" t="s">
        <v>165</v>
      </c>
      <c r="D44" s="292">
        <f t="shared" si="11"/>
        <v>4283311</v>
      </c>
      <c r="E44" s="292">
        <v>3354511</v>
      </c>
      <c r="F44" s="293">
        <v>928800</v>
      </c>
      <c r="G44" s="292">
        <f>H44+I44</f>
        <v>1822221.44</v>
      </c>
      <c r="H44" s="292">
        <v>1801237.44</v>
      </c>
      <c r="I44" s="293">
        <v>20984</v>
      </c>
      <c r="J44" s="293">
        <f t="shared" si="1"/>
        <v>42.542356602170614</v>
      </c>
    </row>
    <row r="45" spans="1:10" ht="25.5">
      <c r="A45" s="362"/>
      <c r="B45" s="290" t="s">
        <v>295</v>
      </c>
      <c r="C45" s="291" t="s">
        <v>403</v>
      </c>
      <c r="D45" s="292">
        <f>E45+F45</f>
        <v>375021</v>
      </c>
      <c r="E45" s="292">
        <v>375021</v>
      </c>
      <c r="F45" s="293">
        <v>0</v>
      </c>
      <c r="G45" s="292">
        <f>H45+I45</f>
        <v>203819.88</v>
      </c>
      <c r="H45" s="292">
        <v>203819.88</v>
      </c>
      <c r="I45" s="293">
        <v>0</v>
      </c>
      <c r="J45" s="293">
        <f t="shared" si="1"/>
        <v>54.34892446023023</v>
      </c>
    </row>
    <row r="46" spans="1:10" ht="12.75">
      <c r="A46" s="362"/>
      <c r="B46" s="290" t="s">
        <v>246</v>
      </c>
      <c r="C46" s="291" t="s">
        <v>247</v>
      </c>
      <c r="D46" s="292">
        <f>E46+F46</f>
        <v>1583812</v>
      </c>
      <c r="E46" s="292">
        <v>1283812</v>
      </c>
      <c r="F46" s="293">
        <v>300000</v>
      </c>
      <c r="G46" s="292">
        <f>H46+I46</f>
        <v>637905.21</v>
      </c>
      <c r="H46" s="292">
        <v>637905.21</v>
      </c>
      <c r="I46" s="293">
        <v>0</v>
      </c>
      <c r="J46" s="293">
        <f t="shared" si="1"/>
        <v>40.27657386103906</v>
      </c>
    </row>
    <row r="47" spans="1:10" ht="12.75">
      <c r="A47" s="362"/>
      <c r="B47" s="290" t="s">
        <v>298</v>
      </c>
      <c r="C47" s="291" t="s">
        <v>299</v>
      </c>
      <c r="D47" s="292">
        <f>E47+F47</f>
        <v>148200</v>
      </c>
      <c r="E47" s="292">
        <v>148200</v>
      </c>
      <c r="F47" s="293">
        <v>0</v>
      </c>
      <c r="G47" s="292">
        <f>H47+I47</f>
        <v>77297.63</v>
      </c>
      <c r="H47" s="292">
        <v>77297.63</v>
      </c>
      <c r="I47" s="293">
        <v>0</v>
      </c>
      <c r="J47" s="293">
        <f t="shared" si="1"/>
        <v>52.15764507422402</v>
      </c>
    </row>
    <row r="48" spans="1:10" ht="25.5">
      <c r="A48" s="362"/>
      <c r="B48" s="290" t="s">
        <v>300</v>
      </c>
      <c r="C48" s="291" t="s">
        <v>404</v>
      </c>
      <c r="D48" s="292">
        <f>E48+F48</f>
        <v>255034</v>
      </c>
      <c r="E48" s="292">
        <v>255034</v>
      </c>
      <c r="F48" s="293">
        <v>0</v>
      </c>
      <c r="G48" s="292">
        <f>H48+I48</f>
        <v>108787.63</v>
      </c>
      <c r="H48" s="292">
        <v>108787.63</v>
      </c>
      <c r="I48" s="293">
        <v>0</v>
      </c>
      <c r="J48" s="293">
        <f t="shared" si="1"/>
        <v>42.656128202514175</v>
      </c>
    </row>
    <row r="49" spans="1:10" ht="25.5">
      <c r="A49" s="362"/>
      <c r="B49" s="290" t="s">
        <v>304</v>
      </c>
      <c r="C49" s="291" t="s">
        <v>305</v>
      </c>
      <c r="D49" s="292">
        <f aca="true" t="shared" si="14" ref="D49:D54">E49+F49</f>
        <v>26200</v>
      </c>
      <c r="E49" s="292">
        <v>26200</v>
      </c>
      <c r="F49" s="293">
        <v>0</v>
      </c>
      <c r="G49" s="292">
        <f aca="true" t="shared" si="15" ref="G49:G60">H49+I49</f>
        <v>6363.3</v>
      </c>
      <c r="H49" s="292">
        <v>6363.3</v>
      </c>
      <c r="I49" s="293">
        <v>0</v>
      </c>
      <c r="J49" s="293">
        <f t="shared" si="1"/>
        <v>24.28740458015267</v>
      </c>
    </row>
    <row r="50" spans="1:10" ht="12.75">
      <c r="A50" s="362"/>
      <c r="B50" s="290" t="s">
        <v>170</v>
      </c>
      <c r="C50" s="291" t="s">
        <v>15</v>
      </c>
      <c r="D50" s="292">
        <f t="shared" si="14"/>
        <v>27800</v>
      </c>
      <c r="E50" s="292">
        <v>27800</v>
      </c>
      <c r="F50" s="293">
        <v>0</v>
      </c>
      <c r="G50" s="292">
        <f t="shared" si="15"/>
        <v>27800</v>
      </c>
      <c r="H50" s="292">
        <v>27800</v>
      </c>
      <c r="I50" s="293">
        <v>0</v>
      </c>
      <c r="J50" s="293">
        <f t="shared" si="1"/>
        <v>100</v>
      </c>
    </row>
    <row r="51" spans="1:10" ht="12.75">
      <c r="A51" s="284" t="s">
        <v>99</v>
      </c>
      <c r="B51" s="285"/>
      <c r="C51" s="286" t="s">
        <v>100</v>
      </c>
      <c r="D51" s="287">
        <f aca="true" t="shared" si="16" ref="D51:I51">SUM(D52:D55)</f>
        <v>60000</v>
      </c>
      <c r="E51" s="287">
        <f t="shared" si="16"/>
        <v>50000</v>
      </c>
      <c r="F51" s="287">
        <f t="shared" si="16"/>
        <v>10000</v>
      </c>
      <c r="G51" s="287">
        <f t="shared" si="16"/>
        <v>37986.86</v>
      </c>
      <c r="H51" s="287">
        <f t="shared" si="16"/>
        <v>27986.86</v>
      </c>
      <c r="I51" s="287">
        <f t="shared" si="16"/>
        <v>10000</v>
      </c>
      <c r="J51" s="288">
        <f t="shared" si="1"/>
        <v>63.31143333333333</v>
      </c>
    </row>
    <row r="52" spans="1:10" ht="12.75">
      <c r="A52" s="361"/>
      <c r="B52" s="207" t="s">
        <v>565</v>
      </c>
      <c r="C52" s="294" t="s">
        <v>566</v>
      </c>
      <c r="D52" s="268">
        <f t="shared" si="14"/>
        <v>10000</v>
      </c>
      <c r="E52" s="268">
        <v>0</v>
      </c>
      <c r="F52" s="293">
        <v>10000</v>
      </c>
      <c r="G52" s="268">
        <f t="shared" si="15"/>
        <v>10000</v>
      </c>
      <c r="H52" s="268">
        <v>0</v>
      </c>
      <c r="I52" s="293">
        <v>10000</v>
      </c>
      <c r="J52" s="293">
        <f t="shared" si="1"/>
        <v>100</v>
      </c>
    </row>
    <row r="53" spans="1:10" ht="12.75">
      <c r="A53" s="371"/>
      <c r="B53" s="290" t="s">
        <v>181</v>
      </c>
      <c r="C53" s="291" t="s">
        <v>102</v>
      </c>
      <c r="D53" s="292">
        <f>E53+F53</f>
        <v>300</v>
      </c>
      <c r="E53" s="292">
        <v>300</v>
      </c>
      <c r="F53" s="293">
        <f>SUM(F54:F54)</f>
        <v>0</v>
      </c>
      <c r="G53" s="292">
        <f>H53+I53</f>
        <v>0</v>
      </c>
      <c r="H53" s="292">
        <v>0</v>
      </c>
      <c r="I53" s="293">
        <f>SUM(I54:I54)</f>
        <v>0</v>
      </c>
      <c r="J53" s="293">
        <f t="shared" si="1"/>
        <v>0</v>
      </c>
    </row>
    <row r="54" spans="1:10" ht="12.75">
      <c r="A54" s="362"/>
      <c r="B54" s="290" t="s">
        <v>101</v>
      </c>
      <c r="C54" s="291" t="s">
        <v>102</v>
      </c>
      <c r="D54" s="292">
        <f t="shared" si="14"/>
        <v>40200</v>
      </c>
      <c r="E54" s="292">
        <v>40200</v>
      </c>
      <c r="F54" s="293">
        <v>0</v>
      </c>
      <c r="G54" s="292">
        <f t="shared" si="15"/>
        <v>27986.86</v>
      </c>
      <c r="H54" s="292">
        <v>27986.86</v>
      </c>
      <c r="I54" s="293">
        <v>0</v>
      </c>
      <c r="J54" s="293">
        <f t="shared" si="1"/>
        <v>69.61905472636816</v>
      </c>
    </row>
    <row r="55" spans="1:10" ht="12.75">
      <c r="A55" s="362"/>
      <c r="B55" s="290" t="s">
        <v>103</v>
      </c>
      <c r="C55" s="291" t="s">
        <v>15</v>
      </c>
      <c r="D55" s="292">
        <f>E55+F55</f>
        <v>9500</v>
      </c>
      <c r="E55" s="292">
        <v>9500</v>
      </c>
      <c r="F55" s="293">
        <v>0</v>
      </c>
      <c r="G55" s="292">
        <f t="shared" si="15"/>
        <v>0</v>
      </c>
      <c r="H55" s="292">
        <v>0</v>
      </c>
      <c r="I55" s="293">
        <v>0</v>
      </c>
      <c r="J55" s="293">
        <f t="shared" si="1"/>
        <v>0</v>
      </c>
    </row>
    <row r="56" spans="1:10" ht="12.75">
      <c r="A56" s="284" t="s">
        <v>108</v>
      </c>
      <c r="B56" s="285"/>
      <c r="C56" s="350" t="s">
        <v>109</v>
      </c>
      <c r="D56" s="287">
        <f aca="true" t="shared" si="17" ref="D56:I56">SUM(D57:D66)</f>
        <v>3972288</v>
      </c>
      <c r="E56" s="287">
        <f t="shared" si="17"/>
        <v>3967288</v>
      </c>
      <c r="F56" s="287">
        <f t="shared" si="17"/>
        <v>5000</v>
      </c>
      <c r="G56" s="287">
        <f t="shared" si="17"/>
        <v>1959811.7300000002</v>
      </c>
      <c r="H56" s="287">
        <f t="shared" si="17"/>
        <v>1959811.7300000002</v>
      </c>
      <c r="I56" s="287">
        <f t="shared" si="17"/>
        <v>0</v>
      </c>
      <c r="J56" s="288">
        <f t="shared" si="1"/>
        <v>49.33710068353554</v>
      </c>
    </row>
    <row r="57" spans="1:10" ht="12.75">
      <c r="A57" s="361"/>
      <c r="B57" s="290" t="s">
        <v>110</v>
      </c>
      <c r="C57" s="291" t="s">
        <v>111</v>
      </c>
      <c r="D57" s="292">
        <f aca="true" t="shared" si="18" ref="D57:D63">E57+F57</f>
        <v>90000</v>
      </c>
      <c r="E57" s="292">
        <v>90000</v>
      </c>
      <c r="F57" s="293">
        <v>0</v>
      </c>
      <c r="G57" s="292">
        <f t="shared" si="15"/>
        <v>41082.69</v>
      </c>
      <c r="H57" s="292">
        <v>41082.69</v>
      </c>
      <c r="I57" s="293">
        <v>0</v>
      </c>
      <c r="J57" s="293">
        <f t="shared" si="1"/>
        <v>45.64743333333334</v>
      </c>
    </row>
    <row r="58" spans="1:10" ht="63.75">
      <c r="A58" s="362"/>
      <c r="B58" s="207" t="s">
        <v>112</v>
      </c>
      <c r="C58" s="297" t="s">
        <v>441</v>
      </c>
      <c r="D58" s="268">
        <f t="shared" si="18"/>
        <v>2354671</v>
      </c>
      <c r="E58" s="268">
        <v>2354671</v>
      </c>
      <c r="F58" s="293">
        <v>0</v>
      </c>
      <c r="G58" s="268">
        <f t="shared" si="15"/>
        <v>1182380.03</v>
      </c>
      <c r="H58" s="268">
        <v>1182380.03</v>
      </c>
      <c r="I58" s="293">
        <v>0</v>
      </c>
      <c r="J58" s="293">
        <f t="shared" si="1"/>
        <v>50.21423502476567</v>
      </c>
    </row>
    <row r="59" spans="1:10" ht="89.25">
      <c r="A59" s="362"/>
      <c r="B59" s="290" t="s">
        <v>118</v>
      </c>
      <c r="C59" s="298" t="s">
        <v>442</v>
      </c>
      <c r="D59" s="292">
        <f t="shared" si="18"/>
        <v>5430</v>
      </c>
      <c r="E59" s="292">
        <v>5430</v>
      </c>
      <c r="F59" s="293">
        <v>0</v>
      </c>
      <c r="G59" s="292">
        <f t="shared" si="15"/>
        <v>2266.84</v>
      </c>
      <c r="H59" s="292">
        <v>2266.84</v>
      </c>
      <c r="I59" s="293">
        <v>0</v>
      </c>
      <c r="J59" s="293">
        <f t="shared" si="1"/>
        <v>41.746593001841624</v>
      </c>
    </row>
    <row r="60" spans="1:10" ht="38.25">
      <c r="A60" s="362"/>
      <c r="B60" s="290" t="s">
        <v>121</v>
      </c>
      <c r="C60" s="291" t="s">
        <v>443</v>
      </c>
      <c r="D60" s="292">
        <f t="shared" si="18"/>
        <v>269800</v>
      </c>
      <c r="E60" s="292">
        <v>269800</v>
      </c>
      <c r="F60" s="293">
        <v>0</v>
      </c>
      <c r="G60" s="292">
        <f t="shared" si="15"/>
        <v>145191.87</v>
      </c>
      <c r="H60" s="292">
        <v>145191.87</v>
      </c>
      <c r="I60" s="293">
        <v>0</v>
      </c>
      <c r="J60" s="293">
        <f t="shared" si="1"/>
        <v>53.814629355077834</v>
      </c>
    </row>
    <row r="61" spans="1:10" ht="12.75">
      <c r="A61" s="362"/>
      <c r="B61" s="290" t="s">
        <v>124</v>
      </c>
      <c r="C61" s="291" t="s">
        <v>125</v>
      </c>
      <c r="D61" s="292">
        <f t="shared" si="18"/>
        <v>30000</v>
      </c>
      <c r="E61" s="292">
        <v>30000</v>
      </c>
      <c r="F61" s="293">
        <v>0</v>
      </c>
      <c r="G61" s="292">
        <f aca="true" t="shared" si="19" ref="G61:G77">H61+I61</f>
        <v>12430.82</v>
      </c>
      <c r="H61" s="292">
        <v>12430.82</v>
      </c>
      <c r="I61" s="293">
        <v>0</v>
      </c>
      <c r="J61" s="293">
        <f t="shared" si="1"/>
        <v>41.43606666666667</v>
      </c>
    </row>
    <row r="62" spans="1:10" ht="12.75">
      <c r="A62" s="362"/>
      <c r="B62" s="290" t="s">
        <v>342</v>
      </c>
      <c r="C62" s="291" t="s">
        <v>343</v>
      </c>
      <c r="D62" s="292">
        <f t="shared" si="18"/>
        <v>37630</v>
      </c>
      <c r="E62" s="292">
        <v>37630</v>
      </c>
      <c r="F62" s="293">
        <v>0</v>
      </c>
      <c r="G62" s="292">
        <f t="shared" si="19"/>
        <v>22118.7</v>
      </c>
      <c r="H62" s="292">
        <v>22118.7</v>
      </c>
      <c r="I62" s="293">
        <v>0</v>
      </c>
      <c r="J62" s="293">
        <f t="shared" si="1"/>
        <v>58.77943130480999</v>
      </c>
    </row>
    <row r="63" spans="1:10" ht="12.75">
      <c r="A63" s="362"/>
      <c r="B63" s="290" t="s">
        <v>126</v>
      </c>
      <c r="C63" s="291" t="s">
        <v>409</v>
      </c>
      <c r="D63" s="292">
        <f t="shared" si="18"/>
        <v>487110</v>
      </c>
      <c r="E63" s="292">
        <v>482110</v>
      </c>
      <c r="F63" s="293">
        <v>5000</v>
      </c>
      <c r="G63" s="292">
        <f t="shared" si="19"/>
        <v>217644.28</v>
      </c>
      <c r="H63" s="292">
        <v>217644.28</v>
      </c>
      <c r="I63" s="293">
        <v>0</v>
      </c>
      <c r="J63" s="293">
        <f t="shared" si="1"/>
        <v>44.68072509289483</v>
      </c>
    </row>
    <row r="64" spans="1:10" ht="25.5">
      <c r="A64" s="362"/>
      <c r="B64" s="290" t="s">
        <v>128</v>
      </c>
      <c r="C64" s="291" t="s">
        <v>405</v>
      </c>
      <c r="D64" s="292">
        <f aca="true" t="shared" si="20" ref="D64:D77">E64+F64</f>
        <v>30000</v>
      </c>
      <c r="E64" s="292">
        <v>30000</v>
      </c>
      <c r="F64" s="293">
        <v>0</v>
      </c>
      <c r="G64" s="292">
        <f t="shared" si="19"/>
        <v>7700</v>
      </c>
      <c r="H64" s="292">
        <v>7700</v>
      </c>
      <c r="I64" s="293">
        <v>0</v>
      </c>
      <c r="J64" s="293">
        <f t="shared" si="1"/>
        <v>25.666666666666664</v>
      </c>
    </row>
    <row r="65" spans="1:10" ht="25.5">
      <c r="A65" s="362"/>
      <c r="B65" s="290" t="s">
        <v>567</v>
      </c>
      <c r="C65" s="291" t="s">
        <v>47</v>
      </c>
      <c r="D65" s="292">
        <f t="shared" si="20"/>
        <v>238500</v>
      </c>
      <c r="E65" s="292">
        <v>238500</v>
      </c>
      <c r="F65" s="293">
        <v>0</v>
      </c>
      <c r="G65" s="292">
        <f t="shared" si="19"/>
        <v>155500</v>
      </c>
      <c r="H65" s="292">
        <v>155500</v>
      </c>
      <c r="I65" s="293">
        <v>0</v>
      </c>
      <c r="J65" s="293">
        <f t="shared" si="1"/>
        <v>65.19916142557652</v>
      </c>
    </row>
    <row r="66" spans="1:10" ht="12.75">
      <c r="A66" s="362"/>
      <c r="B66" s="290" t="s">
        <v>131</v>
      </c>
      <c r="C66" s="291" t="s">
        <v>15</v>
      </c>
      <c r="D66" s="292">
        <f t="shared" si="20"/>
        <v>429147</v>
      </c>
      <c r="E66" s="292">
        <v>429147</v>
      </c>
      <c r="F66" s="293">
        <v>0</v>
      </c>
      <c r="G66" s="292">
        <f t="shared" si="19"/>
        <v>173496.5</v>
      </c>
      <c r="H66" s="292">
        <v>173496.5</v>
      </c>
      <c r="I66" s="293">
        <v>0</v>
      </c>
      <c r="J66" s="293">
        <f t="shared" si="1"/>
        <v>40.428221565104735</v>
      </c>
    </row>
    <row r="67" spans="1:10" ht="12.75">
      <c r="A67" s="299" t="s">
        <v>132</v>
      </c>
      <c r="B67" s="300"/>
      <c r="C67" s="301" t="s">
        <v>133</v>
      </c>
      <c r="D67" s="302">
        <f t="shared" si="20"/>
        <v>194060</v>
      </c>
      <c r="E67" s="302">
        <f>E68</f>
        <v>194060</v>
      </c>
      <c r="F67" s="303">
        <f>F68</f>
        <v>0</v>
      </c>
      <c r="G67" s="302">
        <f t="shared" si="19"/>
        <v>177541.21</v>
      </c>
      <c r="H67" s="302">
        <f>H68</f>
        <v>177541.21</v>
      </c>
      <c r="I67" s="303">
        <f>I68</f>
        <v>0</v>
      </c>
      <c r="J67" s="288">
        <f t="shared" si="1"/>
        <v>91.48779243532927</v>
      </c>
    </row>
    <row r="68" spans="1:10" ht="12.75">
      <c r="A68" s="349"/>
      <c r="B68" s="290" t="s">
        <v>134</v>
      </c>
      <c r="C68" s="291" t="s">
        <v>135</v>
      </c>
      <c r="D68" s="292">
        <f t="shared" si="20"/>
        <v>194060</v>
      </c>
      <c r="E68" s="292">
        <v>194060</v>
      </c>
      <c r="F68" s="293">
        <v>0</v>
      </c>
      <c r="G68" s="292">
        <f t="shared" si="19"/>
        <v>177541.21</v>
      </c>
      <c r="H68" s="292">
        <v>177541.21</v>
      </c>
      <c r="I68" s="293">
        <v>0</v>
      </c>
      <c r="J68" s="293">
        <f t="shared" si="1"/>
        <v>91.48779243532927</v>
      </c>
    </row>
    <row r="69" spans="1:10" ht="25.5">
      <c r="A69" s="299" t="s">
        <v>139</v>
      </c>
      <c r="B69" s="300"/>
      <c r="C69" s="301" t="s">
        <v>140</v>
      </c>
      <c r="D69" s="302">
        <f aca="true" t="shared" si="21" ref="D69:I69">SUM(D70:D77)</f>
        <v>533671</v>
      </c>
      <c r="E69" s="302">
        <f t="shared" si="21"/>
        <v>347671</v>
      </c>
      <c r="F69" s="302">
        <f t="shared" si="21"/>
        <v>186000</v>
      </c>
      <c r="G69" s="302">
        <f t="shared" si="21"/>
        <v>126585.31999999999</v>
      </c>
      <c r="H69" s="302">
        <f t="shared" si="21"/>
        <v>123285.31999999999</v>
      </c>
      <c r="I69" s="302">
        <f t="shared" si="21"/>
        <v>3300</v>
      </c>
      <c r="J69" s="288">
        <f t="shared" si="1"/>
        <v>23.719729945977953</v>
      </c>
    </row>
    <row r="70" spans="1:10" ht="12.75">
      <c r="A70" s="361"/>
      <c r="B70" s="290" t="s">
        <v>186</v>
      </c>
      <c r="C70" s="291" t="s">
        <v>187</v>
      </c>
      <c r="D70" s="292">
        <f t="shared" si="20"/>
        <v>15000</v>
      </c>
      <c r="E70" s="292">
        <v>15000</v>
      </c>
      <c r="F70" s="293">
        <v>0</v>
      </c>
      <c r="G70" s="292">
        <f t="shared" si="19"/>
        <v>3809.2</v>
      </c>
      <c r="H70" s="292">
        <v>3809.2</v>
      </c>
      <c r="I70" s="293">
        <v>0</v>
      </c>
      <c r="J70" s="293">
        <f t="shared" si="1"/>
        <v>25.394666666666666</v>
      </c>
    </row>
    <row r="71" spans="1:10" ht="25.5">
      <c r="A71" s="362"/>
      <c r="B71" s="290" t="s">
        <v>188</v>
      </c>
      <c r="C71" s="291" t="s">
        <v>406</v>
      </c>
      <c r="D71" s="292">
        <f t="shared" si="20"/>
        <v>3000</v>
      </c>
      <c r="E71" s="292">
        <v>3000</v>
      </c>
      <c r="F71" s="293">
        <v>0</v>
      </c>
      <c r="G71" s="292">
        <f t="shared" si="19"/>
        <v>919.14</v>
      </c>
      <c r="H71" s="292">
        <v>919.14</v>
      </c>
      <c r="I71" s="293">
        <v>0</v>
      </c>
      <c r="J71" s="293">
        <f t="shared" si="1"/>
        <v>30.637999999999998</v>
      </c>
    </row>
    <row r="72" spans="1:10" ht="12.75">
      <c r="A72" s="362"/>
      <c r="B72" s="290" t="s">
        <v>229</v>
      </c>
      <c r="C72" s="291" t="s">
        <v>230</v>
      </c>
      <c r="D72" s="292">
        <f t="shared" si="20"/>
        <v>1000</v>
      </c>
      <c r="E72" s="292">
        <v>1000</v>
      </c>
      <c r="F72" s="293">
        <v>0</v>
      </c>
      <c r="G72" s="292">
        <f t="shared" si="19"/>
        <v>0</v>
      </c>
      <c r="H72" s="292">
        <v>0</v>
      </c>
      <c r="I72" s="293">
        <v>0</v>
      </c>
      <c r="J72" s="293">
        <f aca="true" t="shared" si="22" ref="J72:J85">G72/D72*100</f>
        <v>0</v>
      </c>
    </row>
    <row r="73" spans="1:10" ht="12.75">
      <c r="A73" s="362"/>
      <c r="B73" s="290" t="s">
        <v>141</v>
      </c>
      <c r="C73" s="291" t="s">
        <v>142</v>
      </c>
      <c r="D73" s="292">
        <f t="shared" si="20"/>
        <v>254400</v>
      </c>
      <c r="E73" s="292">
        <v>188400</v>
      </c>
      <c r="F73" s="293">
        <v>66000</v>
      </c>
      <c r="G73" s="292">
        <f t="shared" si="19"/>
        <v>63090.08</v>
      </c>
      <c r="H73" s="292">
        <v>63090.08</v>
      </c>
      <c r="I73" s="293">
        <v>0</v>
      </c>
      <c r="J73" s="293">
        <f t="shared" si="22"/>
        <v>24.799559748427676</v>
      </c>
    </row>
    <row r="74" spans="1:10" ht="12.75">
      <c r="A74" s="362"/>
      <c r="B74" s="290" t="s">
        <v>143</v>
      </c>
      <c r="C74" s="291" t="s">
        <v>144</v>
      </c>
      <c r="D74" s="292">
        <f t="shared" si="20"/>
        <v>109161</v>
      </c>
      <c r="E74" s="292">
        <v>109161</v>
      </c>
      <c r="F74" s="293">
        <v>0</v>
      </c>
      <c r="G74" s="292">
        <f t="shared" si="19"/>
        <v>54581</v>
      </c>
      <c r="H74" s="292">
        <v>54581</v>
      </c>
      <c r="I74" s="293">
        <v>0</v>
      </c>
      <c r="J74" s="293">
        <f t="shared" si="22"/>
        <v>50.00045803904325</v>
      </c>
    </row>
    <row r="75" spans="1:10" ht="38.25">
      <c r="A75" s="362"/>
      <c r="B75" s="290" t="s">
        <v>568</v>
      </c>
      <c r="C75" s="291" t="s">
        <v>576</v>
      </c>
      <c r="D75" s="292">
        <f>E75+F75</f>
        <v>19010</v>
      </c>
      <c r="E75" s="292">
        <v>19010</v>
      </c>
      <c r="F75" s="293">
        <v>0</v>
      </c>
      <c r="G75" s="292">
        <f>H75+I75</f>
        <v>0</v>
      </c>
      <c r="H75" s="292">
        <v>0</v>
      </c>
      <c r="I75" s="293">
        <v>0</v>
      </c>
      <c r="J75" s="293">
        <f>G75/D75*100</f>
        <v>0</v>
      </c>
    </row>
    <row r="76" spans="1:10" ht="38.25">
      <c r="A76" s="362"/>
      <c r="B76" s="290" t="s">
        <v>190</v>
      </c>
      <c r="C76" s="291" t="s">
        <v>407</v>
      </c>
      <c r="D76" s="292">
        <f t="shared" si="20"/>
        <v>1500</v>
      </c>
      <c r="E76" s="292">
        <v>1500</v>
      </c>
      <c r="F76" s="293">
        <v>0</v>
      </c>
      <c r="G76" s="292">
        <f t="shared" si="19"/>
        <v>0</v>
      </c>
      <c r="H76" s="292">
        <v>0</v>
      </c>
      <c r="I76" s="293">
        <v>0</v>
      </c>
      <c r="J76" s="293">
        <f t="shared" si="22"/>
        <v>0</v>
      </c>
    </row>
    <row r="77" spans="1:10" ht="12.75">
      <c r="A77" s="362"/>
      <c r="B77" s="290" t="s">
        <v>148</v>
      </c>
      <c r="C77" s="291" t="s">
        <v>15</v>
      </c>
      <c r="D77" s="292">
        <f t="shared" si="20"/>
        <v>130600</v>
      </c>
      <c r="E77" s="292">
        <v>10600</v>
      </c>
      <c r="F77" s="293">
        <v>120000</v>
      </c>
      <c r="G77" s="292">
        <f t="shared" si="19"/>
        <v>4185.9</v>
      </c>
      <c r="H77" s="292">
        <v>885.9</v>
      </c>
      <c r="I77" s="293">
        <v>3300</v>
      </c>
      <c r="J77" s="293">
        <f t="shared" si="22"/>
        <v>3.2051301684532922</v>
      </c>
    </row>
    <row r="78" spans="1:10" ht="25.5">
      <c r="A78" s="299" t="s">
        <v>149</v>
      </c>
      <c r="B78" s="300"/>
      <c r="C78" s="301" t="s">
        <v>150</v>
      </c>
      <c r="D78" s="302">
        <f aca="true" t="shared" si="23" ref="D78:I78">SUM(D79:D81)</f>
        <v>1508191</v>
      </c>
      <c r="E78" s="302">
        <f t="shared" si="23"/>
        <v>661108</v>
      </c>
      <c r="F78" s="302">
        <f t="shared" si="23"/>
        <v>847083</v>
      </c>
      <c r="G78" s="302">
        <f t="shared" si="23"/>
        <v>604956.89</v>
      </c>
      <c r="H78" s="302">
        <f t="shared" si="23"/>
        <v>244500</v>
      </c>
      <c r="I78" s="302">
        <f t="shared" si="23"/>
        <v>360456.89</v>
      </c>
      <c r="J78" s="288">
        <f t="shared" si="22"/>
        <v>40.111424216163606</v>
      </c>
    </row>
    <row r="79" spans="1:10" ht="25.5">
      <c r="A79" s="361"/>
      <c r="B79" s="290" t="s">
        <v>151</v>
      </c>
      <c r="C79" s="291" t="s">
        <v>408</v>
      </c>
      <c r="D79" s="292">
        <f aca="true" t="shared" si="24" ref="D79:D84">E79+F79</f>
        <v>1234191</v>
      </c>
      <c r="E79" s="292">
        <v>387108</v>
      </c>
      <c r="F79" s="293">
        <v>847083</v>
      </c>
      <c r="G79" s="292">
        <f aca="true" t="shared" si="25" ref="G79:G84">H79+I79</f>
        <v>505446.89</v>
      </c>
      <c r="H79" s="292">
        <v>144990</v>
      </c>
      <c r="I79" s="293">
        <v>360456.89</v>
      </c>
      <c r="J79" s="293">
        <f t="shared" si="22"/>
        <v>40.95370084533107</v>
      </c>
    </row>
    <row r="80" spans="1:10" ht="12.75">
      <c r="A80" s="362"/>
      <c r="B80" s="290" t="s">
        <v>156</v>
      </c>
      <c r="C80" s="291" t="s">
        <v>157</v>
      </c>
      <c r="D80" s="292">
        <f t="shared" si="24"/>
        <v>199000</v>
      </c>
      <c r="E80" s="292">
        <v>199000</v>
      </c>
      <c r="F80" s="293">
        <v>0</v>
      </c>
      <c r="G80" s="292">
        <f t="shared" si="25"/>
        <v>99510</v>
      </c>
      <c r="H80" s="292">
        <v>99510</v>
      </c>
      <c r="I80" s="293">
        <v>0</v>
      </c>
      <c r="J80" s="293">
        <f t="shared" si="22"/>
        <v>50.005025125628144</v>
      </c>
    </row>
    <row r="81" spans="1:10" ht="25.5">
      <c r="A81" s="362"/>
      <c r="B81" s="290" t="s">
        <v>193</v>
      </c>
      <c r="C81" s="291" t="s">
        <v>194</v>
      </c>
      <c r="D81" s="292">
        <f t="shared" si="24"/>
        <v>75000</v>
      </c>
      <c r="E81" s="292">
        <v>75000</v>
      </c>
      <c r="F81" s="293">
        <v>0</v>
      </c>
      <c r="G81" s="292">
        <f t="shared" si="25"/>
        <v>0</v>
      </c>
      <c r="H81" s="292">
        <v>0</v>
      </c>
      <c r="I81" s="293">
        <v>0</v>
      </c>
      <c r="J81" s="293">
        <f t="shared" si="22"/>
        <v>0</v>
      </c>
    </row>
    <row r="82" spans="1:10" ht="12.75">
      <c r="A82" s="299" t="s">
        <v>159</v>
      </c>
      <c r="B82" s="300"/>
      <c r="C82" s="301" t="s">
        <v>160</v>
      </c>
      <c r="D82" s="302">
        <f aca="true" t="shared" si="26" ref="D82:I82">SUM(D83:D84)</f>
        <v>114936</v>
      </c>
      <c r="E82" s="302">
        <f t="shared" si="26"/>
        <v>60000</v>
      </c>
      <c r="F82" s="302">
        <f t="shared" si="26"/>
        <v>54936</v>
      </c>
      <c r="G82" s="302">
        <f t="shared" si="26"/>
        <v>30000</v>
      </c>
      <c r="H82" s="302">
        <f t="shared" si="26"/>
        <v>30000</v>
      </c>
      <c r="I82" s="302">
        <f t="shared" si="26"/>
        <v>0</v>
      </c>
      <c r="J82" s="288">
        <f t="shared" si="22"/>
        <v>26.10148256420965</v>
      </c>
    </row>
    <row r="83" spans="1:10" ht="12.75">
      <c r="A83" s="361"/>
      <c r="B83" s="290" t="s">
        <v>258</v>
      </c>
      <c r="C83" s="291" t="s">
        <v>259</v>
      </c>
      <c r="D83" s="292">
        <f t="shared" si="24"/>
        <v>54936</v>
      </c>
      <c r="E83" s="292">
        <v>0</v>
      </c>
      <c r="F83" s="293">
        <v>54936</v>
      </c>
      <c r="G83" s="292">
        <f t="shared" si="25"/>
        <v>0</v>
      </c>
      <c r="H83" s="292">
        <v>0</v>
      </c>
      <c r="I83" s="293">
        <v>0</v>
      </c>
      <c r="J83" s="293">
        <f t="shared" si="22"/>
        <v>0</v>
      </c>
    </row>
    <row r="84" spans="1:10" ht="12.75">
      <c r="A84" s="362"/>
      <c r="B84" s="290" t="s">
        <v>161</v>
      </c>
      <c r="C84" s="291" t="s">
        <v>15</v>
      </c>
      <c r="D84" s="292">
        <f t="shared" si="24"/>
        <v>60000</v>
      </c>
      <c r="E84" s="292">
        <v>60000</v>
      </c>
      <c r="F84" s="293">
        <v>0</v>
      </c>
      <c r="G84" s="292">
        <f t="shared" si="25"/>
        <v>30000</v>
      </c>
      <c r="H84" s="292">
        <v>30000</v>
      </c>
      <c r="I84" s="293">
        <v>0</v>
      </c>
      <c r="J84" s="293">
        <f t="shared" si="22"/>
        <v>50</v>
      </c>
    </row>
    <row r="85" spans="1:10" ht="12.75">
      <c r="A85" s="368" t="s">
        <v>395</v>
      </c>
      <c r="B85" s="369"/>
      <c r="C85" s="370"/>
      <c r="D85" s="267">
        <f aca="true" t="shared" si="27" ref="D85:I85">D82+D78+D69+D67+D56+D51+D43+D41+D39+D37+D32+D29+D23+D21+D19+D17+D13+D11+D5</f>
        <v>21085100</v>
      </c>
      <c r="E85" s="267">
        <f t="shared" si="27"/>
        <v>14827276</v>
      </c>
      <c r="F85" s="267">
        <f t="shared" si="27"/>
        <v>6257824</v>
      </c>
      <c r="G85" s="267">
        <f t="shared" si="27"/>
        <v>7841188.22</v>
      </c>
      <c r="H85" s="267">
        <f t="shared" si="27"/>
        <v>6857077.199999999</v>
      </c>
      <c r="I85" s="267">
        <f t="shared" si="27"/>
        <v>984111.02</v>
      </c>
      <c r="J85" s="275">
        <f t="shared" si="22"/>
        <v>37.18829040412424</v>
      </c>
    </row>
  </sheetData>
  <sheetProtection/>
  <mergeCells count="22">
    <mergeCell ref="A33:A36"/>
    <mergeCell ref="A70:A77"/>
    <mergeCell ref="G2:G3"/>
    <mergeCell ref="H2:I2"/>
    <mergeCell ref="C1:C3"/>
    <mergeCell ref="G1:I1"/>
    <mergeCell ref="A30:A31"/>
    <mergeCell ref="A24:A28"/>
    <mergeCell ref="A14:A16"/>
    <mergeCell ref="B1:B3"/>
    <mergeCell ref="A83:A84"/>
    <mergeCell ref="A85:C85"/>
    <mergeCell ref="A57:A66"/>
    <mergeCell ref="A79:A81"/>
    <mergeCell ref="A52:A55"/>
    <mergeCell ref="A44:A50"/>
    <mergeCell ref="J1:J3"/>
    <mergeCell ref="A6:A10"/>
    <mergeCell ref="D1:F1"/>
    <mergeCell ref="D2:D3"/>
    <mergeCell ref="E2:F2"/>
    <mergeCell ref="A1:A3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scale="90" r:id="rId1"/>
  <rowBreaks count="1" manualBreakCount="1">
    <brk id="5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pane ySplit="10" topLeftCell="A64" activePane="bottomLeft" state="frozen"/>
      <selection pane="topLeft" activeCell="C1" sqref="C1"/>
      <selection pane="bottomLeft" activeCell="A84" sqref="A84:C84"/>
    </sheetView>
  </sheetViews>
  <sheetFormatPr defaultColWidth="9.00390625" defaultRowHeight="12.75"/>
  <cols>
    <col min="1" max="1" width="6.00390625" style="198" customWidth="1"/>
    <col min="2" max="2" width="9.125" style="198" customWidth="1"/>
    <col min="3" max="3" width="30.00390625" style="198" customWidth="1"/>
    <col min="4" max="4" width="14.00390625" style="198" customWidth="1"/>
    <col min="5" max="5" width="12.375" style="198" customWidth="1"/>
    <col min="6" max="6" width="12.625" style="198" customWidth="1"/>
    <col min="7" max="7" width="12.875" style="198" customWidth="1"/>
    <col min="8" max="8" width="11.375" style="198" customWidth="1"/>
    <col min="9" max="9" width="13.125" style="198" customWidth="1"/>
    <col min="10" max="10" width="11.125" style="198" customWidth="1"/>
    <col min="11" max="11" width="15.375" style="198" customWidth="1"/>
    <col min="12" max="12" width="14.25390625" style="198" customWidth="1"/>
    <col min="13" max="13" width="12.875" style="198" customWidth="1"/>
    <col min="14" max="14" width="12.375" style="198" customWidth="1"/>
    <col min="15" max="15" width="13.125" style="198" customWidth="1"/>
    <col min="16" max="16" width="12.75390625" style="198" customWidth="1"/>
    <col min="17" max="17" width="11.375" style="198" customWidth="1"/>
    <col min="18" max="18" width="14.375" style="198" customWidth="1"/>
    <col min="19" max="16384" width="9.125" style="198" customWidth="1"/>
  </cols>
  <sheetData>
    <row r="1" spans="16:18" ht="28.5" customHeight="1">
      <c r="P1" s="372" t="s">
        <v>587</v>
      </c>
      <c r="Q1" s="372"/>
      <c r="R1" s="372"/>
    </row>
    <row r="2" spans="16:18" ht="28.5" customHeight="1">
      <c r="P2" s="356"/>
      <c r="Q2" s="356"/>
      <c r="R2" s="356"/>
    </row>
    <row r="3" spans="3:18" ht="18" customHeight="1">
      <c r="C3" s="399" t="s">
        <v>586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ht="13.5" thickBot="1"/>
    <row r="5" spans="1:18" ht="12.75">
      <c r="A5" s="384" t="s">
        <v>0</v>
      </c>
      <c r="B5" s="385" t="s">
        <v>1</v>
      </c>
      <c r="C5" s="387" t="s">
        <v>489</v>
      </c>
      <c r="D5" s="378" t="s">
        <v>380</v>
      </c>
      <c r="E5" s="379"/>
      <c r="F5" s="379"/>
      <c r="G5" s="379"/>
      <c r="H5" s="379"/>
      <c r="I5" s="379"/>
      <c r="J5" s="380"/>
      <c r="K5" s="378" t="s">
        <v>556</v>
      </c>
      <c r="L5" s="379"/>
      <c r="M5" s="379"/>
      <c r="N5" s="379"/>
      <c r="O5" s="379"/>
      <c r="P5" s="379"/>
      <c r="Q5" s="379"/>
      <c r="R5" s="358" t="s">
        <v>558</v>
      </c>
    </row>
    <row r="6" spans="1:18" ht="12.75">
      <c r="A6" s="382"/>
      <c r="B6" s="367"/>
      <c r="C6" s="388"/>
      <c r="D6" s="381" t="s">
        <v>381</v>
      </c>
      <c r="E6" s="363" t="s">
        <v>382</v>
      </c>
      <c r="F6" s="364"/>
      <c r="G6" s="364"/>
      <c r="H6" s="364"/>
      <c r="I6" s="364"/>
      <c r="J6" s="390"/>
      <c r="K6" s="381" t="s">
        <v>381</v>
      </c>
      <c r="L6" s="363" t="s">
        <v>382</v>
      </c>
      <c r="M6" s="364"/>
      <c r="N6" s="364"/>
      <c r="O6" s="364"/>
      <c r="P6" s="364"/>
      <c r="Q6" s="364"/>
      <c r="R6" s="359"/>
    </row>
    <row r="7" spans="1:18" ht="12.75">
      <c r="A7" s="382"/>
      <c r="B7" s="367"/>
      <c r="C7" s="388"/>
      <c r="D7" s="382"/>
      <c r="E7" s="363" t="s">
        <v>383</v>
      </c>
      <c r="F7" s="364"/>
      <c r="G7" s="365"/>
      <c r="H7" s="366" t="s">
        <v>324</v>
      </c>
      <c r="I7" s="392" t="s">
        <v>449</v>
      </c>
      <c r="J7" s="395" t="s">
        <v>450</v>
      </c>
      <c r="K7" s="382"/>
      <c r="L7" s="363" t="s">
        <v>383</v>
      </c>
      <c r="M7" s="364"/>
      <c r="N7" s="365"/>
      <c r="O7" s="366" t="s">
        <v>324</v>
      </c>
      <c r="P7" s="392" t="s">
        <v>449</v>
      </c>
      <c r="Q7" s="401" t="s">
        <v>450</v>
      </c>
      <c r="R7" s="359"/>
    </row>
    <row r="8" spans="1:18" ht="12.75">
      <c r="A8" s="382"/>
      <c r="B8" s="367"/>
      <c r="C8" s="388"/>
      <c r="D8" s="382"/>
      <c r="E8" s="366" t="s">
        <v>381</v>
      </c>
      <c r="F8" s="363" t="s">
        <v>382</v>
      </c>
      <c r="G8" s="365"/>
      <c r="H8" s="367"/>
      <c r="I8" s="393"/>
      <c r="J8" s="396"/>
      <c r="K8" s="382"/>
      <c r="L8" s="366" t="s">
        <v>381</v>
      </c>
      <c r="M8" s="363" t="s">
        <v>382</v>
      </c>
      <c r="N8" s="365"/>
      <c r="O8" s="367"/>
      <c r="P8" s="393"/>
      <c r="Q8" s="402"/>
      <c r="R8" s="359"/>
    </row>
    <row r="9" spans="1:18" ht="25.5">
      <c r="A9" s="383"/>
      <c r="B9" s="386"/>
      <c r="C9" s="389"/>
      <c r="D9" s="383"/>
      <c r="E9" s="367"/>
      <c r="F9" s="209" t="s">
        <v>447</v>
      </c>
      <c r="G9" s="209" t="s">
        <v>448</v>
      </c>
      <c r="H9" s="367"/>
      <c r="I9" s="394"/>
      <c r="J9" s="397"/>
      <c r="K9" s="383"/>
      <c r="L9" s="367"/>
      <c r="M9" s="209" t="s">
        <v>447</v>
      </c>
      <c r="N9" s="209" t="s">
        <v>448</v>
      </c>
      <c r="O9" s="367"/>
      <c r="P9" s="394"/>
      <c r="Q9" s="403"/>
      <c r="R9" s="360"/>
    </row>
    <row r="10" spans="1:18" ht="20.25" customHeight="1">
      <c r="A10" s="336">
        <v>1</v>
      </c>
      <c r="B10" s="201">
        <v>2</v>
      </c>
      <c r="C10" s="202">
        <v>3</v>
      </c>
      <c r="D10" s="344" t="s">
        <v>392</v>
      </c>
      <c r="E10" s="202" t="s">
        <v>393</v>
      </c>
      <c r="F10" s="202">
        <v>6</v>
      </c>
      <c r="G10" s="202">
        <v>7</v>
      </c>
      <c r="H10" s="202">
        <v>8</v>
      </c>
      <c r="I10" s="202">
        <v>9</v>
      </c>
      <c r="J10" s="337">
        <v>10</v>
      </c>
      <c r="K10" s="344" t="s">
        <v>572</v>
      </c>
      <c r="L10" s="202" t="s">
        <v>573</v>
      </c>
      <c r="M10" s="202">
        <v>13</v>
      </c>
      <c r="N10" s="202">
        <v>14</v>
      </c>
      <c r="O10" s="202">
        <v>15</v>
      </c>
      <c r="P10" s="202">
        <v>16</v>
      </c>
      <c r="Q10" s="352">
        <v>17</v>
      </c>
      <c r="R10" s="353" t="s">
        <v>574</v>
      </c>
    </row>
    <row r="11" spans="1:18" ht="12.75">
      <c r="A11" s="338" t="s">
        <v>7</v>
      </c>
      <c r="B11" s="285"/>
      <c r="C11" s="305" t="s">
        <v>8</v>
      </c>
      <c r="D11" s="345">
        <f>SUM(D12:D16)</f>
        <v>220954</v>
      </c>
      <c r="E11" s="345">
        <f aca="true" t="shared" si="0" ref="E11:Q11">SUM(E12:E16)</f>
        <v>207954</v>
      </c>
      <c r="F11" s="345">
        <f t="shared" si="0"/>
        <v>35899</v>
      </c>
      <c r="G11" s="345">
        <f t="shared" si="0"/>
        <v>172055</v>
      </c>
      <c r="H11" s="345">
        <f t="shared" si="0"/>
        <v>13000</v>
      </c>
      <c r="I11" s="345">
        <f t="shared" si="0"/>
        <v>0</v>
      </c>
      <c r="J11" s="345">
        <f t="shared" si="0"/>
        <v>0</v>
      </c>
      <c r="K11" s="345">
        <f t="shared" si="0"/>
        <v>141573.91999999998</v>
      </c>
      <c r="L11" s="345">
        <f t="shared" si="0"/>
        <v>138798.24</v>
      </c>
      <c r="M11" s="345">
        <f t="shared" si="0"/>
        <v>19424.53</v>
      </c>
      <c r="N11" s="345">
        <f t="shared" si="0"/>
        <v>119373.70999999999</v>
      </c>
      <c r="O11" s="345">
        <f t="shared" si="0"/>
        <v>2775.68</v>
      </c>
      <c r="P11" s="345">
        <f t="shared" si="0"/>
        <v>0</v>
      </c>
      <c r="Q11" s="345">
        <f t="shared" si="0"/>
        <v>0</v>
      </c>
      <c r="R11" s="339">
        <f>K11/E11*100</f>
        <v>68.07944064552737</v>
      </c>
    </row>
    <row r="12" spans="1:18" ht="12.75">
      <c r="A12" s="373"/>
      <c r="B12" s="290" t="s">
        <v>252</v>
      </c>
      <c r="C12" s="306" t="s">
        <v>253</v>
      </c>
      <c r="D12" s="346">
        <f>E12+H12+I12+J12</f>
        <v>50000</v>
      </c>
      <c r="E12" s="292">
        <f>F12+G12</f>
        <v>50000</v>
      </c>
      <c r="F12" s="292">
        <v>0</v>
      </c>
      <c r="G12" s="292">
        <v>50000</v>
      </c>
      <c r="H12" s="292">
        <v>0</v>
      </c>
      <c r="I12" s="292">
        <v>0</v>
      </c>
      <c r="J12" s="340">
        <v>0</v>
      </c>
      <c r="K12" s="346">
        <f>L12+O12+P12+Q12</f>
        <v>0</v>
      </c>
      <c r="L12" s="292">
        <f>M12+N12</f>
        <v>0</v>
      </c>
      <c r="M12" s="292">
        <v>0</v>
      </c>
      <c r="N12" s="292">
        <v>0</v>
      </c>
      <c r="O12" s="292">
        <v>0</v>
      </c>
      <c r="P12" s="292">
        <v>0</v>
      </c>
      <c r="Q12" s="340">
        <v>0</v>
      </c>
      <c r="R12" s="340">
        <f>K12/D12*100</f>
        <v>0</v>
      </c>
    </row>
    <row r="13" spans="1:18" ht="12.75">
      <c r="A13" s="374"/>
      <c r="B13" s="290" t="s">
        <v>348</v>
      </c>
      <c r="C13" s="306" t="s">
        <v>349</v>
      </c>
      <c r="D13" s="346">
        <f>E13+H13+I13+J13</f>
        <v>8000</v>
      </c>
      <c r="E13" s="292">
        <f>F13+G13</f>
        <v>0</v>
      </c>
      <c r="F13" s="292">
        <v>0</v>
      </c>
      <c r="G13" s="292">
        <v>0</v>
      </c>
      <c r="H13" s="292">
        <v>8000</v>
      </c>
      <c r="I13" s="292">
        <v>0</v>
      </c>
      <c r="J13" s="340">
        <v>0</v>
      </c>
      <c r="K13" s="346">
        <f>L13+O13+P13+Q13</f>
        <v>0</v>
      </c>
      <c r="L13" s="292">
        <f>M13+N13</f>
        <v>0</v>
      </c>
      <c r="M13" s="292">
        <v>0</v>
      </c>
      <c r="N13" s="292">
        <v>0</v>
      </c>
      <c r="O13" s="292">
        <v>0</v>
      </c>
      <c r="P13" s="292">
        <v>0</v>
      </c>
      <c r="Q13" s="340">
        <v>0</v>
      </c>
      <c r="R13" s="340">
        <f>K13/D13*100</f>
        <v>0</v>
      </c>
    </row>
    <row r="14" spans="1:18" ht="25.5">
      <c r="A14" s="374"/>
      <c r="B14" s="290" t="s">
        <v>208</v>
      </c>
      <c r="C14" s="306" t="s">
        <v>209</v>
      </c>
      <c r="D14" s="346">
        <f>E14+H14+I14+J14</f>
        <v>34169</v>
      </c>
      <c r="E14" s="292">
        <f>F14+G14</f>
        <v>34169</v>
      </c>
      <c r="F14" s="292">
        <v>33560</v>
      </c>
      <c r="G14" s="292">
        <v>609</v>
      </c>
      <c r="H14" s="292">
        <v>0</v>
      </c>
      <c r="I14" s="292">
        <v>0</v>
      </c>
      <c r="J14" s="340">
        <v>0</v>
      </c>
      <c r="K14" s="346">
        <f>L14+O14+P14+Q14</f>
        <v>17693.379999999997</v>
      </c>
      <c r="L14" s="292">
        <f>M14+N14</f>
        <v>17693.379999999997</v>
      </c>
      <c r="M14" s="292">
        <v>17085.85</v>
      </c>
      <c r="N14" s="292">
        <v>607.53</v>
      </c>
      <c r="O14" s="292">
        <v>0</v>
      </c>
      <c r="P14" s="292">
        <v>0</v>
      </c>
      <c r="Q14" s="340">
        <v>0</v>
      </c>
      <c r="R14" s="340">
        <f>K14/D14*100</f>
        <v>51.781966109631526</v>
      </c>
    </row>
    <row r="15" spans="1:18" ht="12.75">
      <c r="A15" s="374"/>
      <c r="B15" s="290" t="s">
        <v>9</v>
      </c>
      <c r="C15" s="306" t="s">
        <v>10</v>
      </c>
      <c r="D15" s="346">
        <f>E15+H15+I15+J15</f>
        <v>5000</v>
      </c>
      <c r="E15" s="292">
        <f>F15+G15</f>
        <v>0</v>
      </c>
      <c r="F15" s="292">
        <v>0</v>
      </c>
      <c r="G15" s="292">
        <v>0</v>
      </c>
      <c r="H15" s="292">
        <v>5000</v>
      </c>
      <c r="I15" s="292">
        <v>0</v>
      </c>
      <c r="J15" s="340">
        <v>0</v>
      </c>
      <c r="K15" s="346">
        <f>L15+O15+P15+Q15</f>
        <v>2775.68</v>
      </c>
      <c r="L15" s="292">
        <f>M15+N15</f>
        <v>0</v>
      </c>
      <c r="M15" s="292">
        <v>0</v>
      </c>
      <c r="N15" s="292">
        <v>0</v>
      </c>
      <c r="O15" s="292">
        <v>2775.68</v>
      </c>
      <c r="P15" s="292">
        <v>0</v>
      </c>
      <c r="Q15" s="340">
        <v>0</v>
      </c>
      <c r="R15" s="340">
        <f>K15/D15*100</f>
        <v>55.5136</v>
      </c>
    </row>
    <row r="16" spans="1:18" ht="12.75">
      <c r="A16" s="374"/>
      <c r="B16" s="290" t="s">
        <v>14</v>
      </c>
      <c r="C16" s="306" t="s">
        <v>15</v>
      </c>
      <c r="D16" s="346">
        <f>E16+H16+I16+J16</f>
        <v>123785</v>
      </c>
      <c r="E16" s="292">
        <f>F16+G16</f>
        <v>123785</v>
      </c>
      <c r="F16" s="292">
        <v>2339</v>
      </c>
      <c r="G16" s="292">
        <v>121446</v>
      </c>
      <c r="H16" s="292">
        <v>0</v>
      </c>
      <c r="I16" s="292">
        <v>0</v>
      </c>
      <c r="J16" s="340">
        <v>0</v>
      </c>
      <c r="K16" s="346">
        <f>L16+O16+P16+Q16</f>
        <v>121104.85999999999</v>
      </c>
      <c r="L16" s="292">
        <f>M16+N16</f>
        <v>121104.85999999999</v>
      </c>
      <c r="M16" s="292">
        <v>2338.68</v>
      </c>
      <c r="N16" s="292">
        <v>118766.18</v>
      </c>
      <c r="O16" s="292">
        <v>0</v>
      </c>
      <c r="P16" s="292">
        <v>0</v>
      </c>
      <c r="Q16" s="340">
        <v>0</v>
      </c>
      <c r="R16" s="340">
        <f>K16/D16*100</f>
        <v>97.83484267075977</v>
      </c>
    </row>
    <row r="17" spans="1:18" ht="12.75">
      <c r="A17" s="341" t="s">
        <v>18</v>
      </c>
      <c r="B17" s="300"/>
      <c r="C17" s="307" t="s">
        <v>19</v>
      </c>
      <c r="D17" s="347">
        <f>D18</f>
        <v>205086</v>
      </c>
      <c r="E17" s="302">
        <f aca="true" t="shared" si="1" ref="E17:Q17">E18</f>
        <v>203886</v>
      </c>
      <c r="F17" s="302">
        <f t="shared" si="1"/>
        <v>87486</v>
      </c>
      <c r="G17" s="302">
        <f t="shared" si="1"/>
        <v>116400</v>
      </c>
      <c r="H17" s="302">
        <f t="shared" si="1"/>
        <v>0</v>
      </c>
      <c r="I17" s="302">
        <f t="shared" si="1"/>
        <v>1200</v>
      </c>
      <c r="J17" s="342">
        <f t="shared" si="1"/>
        <v>0</v>
      </c>
      <c r="K17" s="347">
        <f>K18</f>
        <v>108290.2</v>
      </c>
      <c r="L17" s="302">
        <f t="shared" si="1"/>
        <v>108050.2</v>
      </c>
      <c r="M17" s="302">
        <f t="shared" si="1"/>
        <v>44620.28</v>
      </c>
      <c r="N17" s="302">
        <f t="shared" si="1"/>
        <v>63429.92</v>
      </c>
      <c r="O17" s="302">
        <f t="shared" si="1"/>
        <v>0</v>
      </c>
      <c r="P17" s="302">
        <f t="shared" si="1"/>
        <v>240</v>
      </c>
      <c r="Q17" s="342">
        <f t="shared" si="1"/>
        <v>0</v>
      </c>
      <c r="R17" s="339">
        <f>K17/E17*100</f>
        <v>53.113112229383084</v>
      </c>
    </row>
    <row r="18" spans="1:18" ht="12.75">
      <c r="A18" s="351"/>
      <c r="B18" s="290" t="s">
        <v>20</v>
      </c>
      <c r="C18" s="306" t="s">
        <v>21</v>
      </c>
      <c r="D18" s="346">
        <f>E18+H18+I18+J18</f>
        <v>205086</v>
      </c>
      <c r="E18" s="292">
        <f>F18+G18</f>
        <v>203886</v>
      </c>
      <c r="F18" s="292">
        <v>87486</v>
      </c>
      <c r="G18" s="292">
        <v>116400</v>
      </c>
      <c r="H18" s="292">
        <v>0</v>
      </c>
      <c r="I18" s="292">
        <v>1200</v>
      </c>
      <c r="J18" s="340">
        <v>0</v>
      </c>
      <c r="K18" s="346">
        <f>L18+O18+P18+Q18</f>
        <v>108290.2</v>
      </c>
      <c r="L18" s="292">
        <f>M18+N18</f>
        <v>108050.2</v>
      </c>
      <c r="M18" s="292">
        <v>44620.28</v>
      </c>
      <c r="N18" s="292">
        <v>63429.92</v>
      </c>
      <c r="O18" s="292">
        <v>0</v>
      </c>
      <c r="P18" s="292">
        <v>240</v>
      </c>
      <c r="Q18" s="340">
        <v>0</v>
      </c>
      <c r="R18" s="340">
        <f>K18/D18*100</f>
        <v>52.802336580751486</v>
      </c>
    </row>
    <row r="19" spans="1:18" ht="12.75">
      <c r="A19" s="341" t="s">
        <v>40</v>
      </c>
      <c r="B19" s="300"/>
      <c r="C19" s="307" t="s">
        <v>41</v>
      </c>
      <c r="D19" s="347">
        <f>SUM(D20:D22)</f>
        <v>1299476</v>
      </c>
      <c r="E19" s="347">
        <f aca="true" t="shared" si="2" ref="E19:Q19">SUM(E20:E22)</f>
        <v>699476</v>
      </c>
      <c r="F19" s="347">
        <f t="shared" si="2"/>
        <v>9500</v>
      </c>
      <c r="G19" s="347">
        <f t="shared" si="2"/>
        <v>689976</v>
      </c>
      <c r="H19" s="347">
        <f t="shared" si="2"/>
        <v>600000</v>
      </c>
      <c r="I19" s="347">
        <f t="shared" si="2"/>
        <v>0</v>
      </c>
      <c r="J19" s="347">
        <f t="shared" si="2"/>
        <v>0</v>
      </c>
      <c r="K19" s="347">
        <f t="shared" si="2"/>
        <v>44975.49</v>
      </c>
      <c r="L19" s="347">
        <f t="shared" si="2"/>
        <v>44975.49</v>
      </c>
      <c r="M19" s="347">
        <f t="shared" si="2"/>
        <v>1439</v>
      </c>
      <c r="N19" s="347">
        <f t="shared" si="2"/>
        <v>43536.49</v>
      </c>
      <c r="O19" s="347">
        <f t="shared" si="2"/>
        <v>0</v>
      </c>
      <c r="P19" s="347">
        <f t="shared" si="2"/>
        <v>0</v>
      </c>
      <c r="Q19" s="347">
        <f t="shared" si="2"/>
        <v>0</v>
      </c>
      <c r="R19" s="339">
        <f>K19/E19*100</f>
        <v>6.429883226872687</v>
      </c>
    </row>
    <row r="20" spans="1:18" ht="12.75">
      <c r="A20" s="373"/>
      <c r="B20" s="290" t="s">
        <v>204</v>
      </c>
      <c r="C20" s="306" t="s">
        <v>205</v>
      </c>
      <c r="D20" s="346">
        <f>E20+H20+I20+J20</f>
        <v>600000</v>
      </c>
      <c r="E20" s="292">
        <f>F20+G20</f>
        <v>0</v>
      </c>
      <c r="F20" s="292">
        <v>0</v>
      </c>
      <c r="G20" s="292">
        <v>0</v>
      </c>
      <c r="H20" s="292">
        <v>600000</v>
      </c>
      <c r="I20" s="292">
        <v>0</v>
      </c>
      <c r="J20" s="340">
        <v>0</v>
      </c>
      <c r="K20" s="346">
        <f>L20+O20+P20+Q20</f>
        <v>0</v>
      </c>
      <c r="L20" s="292">
        <f>M20+N20</f>
        <v>0</v>
      </c>
      <c r="M20" s="292">
        <v>0</v>
      </c>
      <c r="N20" s="292">
        <v>0</v>
      </c>
      <c r="O20" s="292">
        <v>0</v>
      </c>
      <c r="P20" s="292">
        <v>0</v>
      </c>
      <c r="Q20" s="340">
        <v>0</v>
      </c>
      <c r="R20" s="340">
        <f>K20/D20*100</f>
        <v>0</v>
      </c>
    </row>
    <row r="21" spans="1:18" ht="12.75">
      <c r="A21" s="374"/>
      <c r="B21" s="290" t="s">
        <v>42</v>
      </c>
      <c r="C21" s="306" t="s">
        <v>43</v>
      </c>
      <c r="D21" s="346">
        <f>E21+H21+I21+J21</f>
        <v>476615</v>
      </c>
      <c r="E21" s="292">
        <f>F21+G21</f>
        <v>476615</v>
      </c>
      <c r="F21" s="292">
        <v>9000</v>
      </c>
      <c r="G21" s="292">
        <v>467615</v>
      </c>
      <c r="H21" s="292">
        <v>0</v>
      </c>
      <c r="I21" s="292">
        <v>0</v>
      </c>
      <c r="J21" s="340">
        <v>0</v>
      </c>
      <c r="K21" s="346">
        <f>L21+O21+P21+Q21</f>
        <v>44975.49</v>
      </c>
      <c r="L21" s="292">
        <f>M21+N21</f>
        <v>44975.49</v>
      </c>
      <c r="M21" s="292">
        <v>1439</v>
      </c>
      <c r="N21" s="292">
        <v>43536.49</v>
      </c>
      <c r="O21" s="292">
        <v>0</v>
      </c>
      <c r="P21" s="292">
        <v>0</v>
      </c>
      <c r="Q21" s="340">
        <v>0</v>
      </c>
      <c r="R21" s="340">
        <f>K21/D21*100</f>
        <v>9.43644031346055</v>
      </c>
    </row>
    <row r="22" spans="1:18" ht="25.5">
      <c r="A22" s="374"/>
      <c r="B22" s="290" t="s">
        <v>46</v>
      </c>
      <c r="C22" s="306" t="s">
        <v>47</v>
      </c>
      <c r="D22" s="346">
        <f>E22+H22+I22+J22</f>
        <v>222861</v>
      </c>
      <c r="E22" s="292">
        <f>F22+G22</f>
        <v>222861</v>
      </c>
      <c r="F22" s="292">
        <v>500</v>
      </c>
      <c r="G22" s="292">
        <v>222361</v>
      </c>
      <c r="H22" s="292">
        <v>0</v>
      </c>
      <c r="I22" s="292">
        <v>0</v>
      </c>
      <c r="J22" s="340">
        <v>0</v>
      </c>
      <c r="K22" s="346">
        <f>L22+O22+P22+Q22</f>
        <v>0</v>
      </c>
      <c r="L22" s="292">
        <f>M22+N22</f>
        <v>0</v>
      </c>
      <c r="M22" s="292">
        <v>0</v>
      </c>
      <c r="N22" s="292">
        <v>0</v>
      </c>
      <c r="O22" s="292">
        <v>0</v>
      </c>
      <c r="P22" s="292">
        <v>0</v>
      </c>
      <c r="Q22" s="340">
        <v>0</v>
      </c>
      <c r="R22" s="340">
        <f>K22/D22*100</f>
        <v>0</v>
      </c>
    </row>
    <row r="23" spans="1:18" ht="12.75">
      <c r="A23" s="341" t="s">
        <v>48</v>
      </c>
      <c r="B23" s="300"/>
      <c r="C23" s="307" t="s">
        <v>49</v>
      </c>
      <c r="D23" s="347">
        <f>D24</f>
        <v>125000</v>
      </c>
      <c r="E23" s="302">
        <f aca="true" t="shared" si="3" ref="E23:Q23">E24</f>
        <v>125000</v>
      </c>
      <c r="F23" s="302">
        <f t="shared" si="3"/>
        <v>16000</v>
      </c>
      <c r="G23" s="302">
        <f t="shared" si="3"/>
        <v>109000</v>
      </c>
      <c r="H23" s="302">
        <f t="shared" si="3"/>
        <v>0</v>
      </c>
      <c r="I23" s="302">
        <f t="shared" si="3"/>
        <v>0</v>
      </c>
      <c r="J23" s="342">
        <f t="shared" si="3"/>
        <v>0</v>
      </c>
      <c r="K23" s="347">
        <f>K24</f>
        <v>13547.97</v>
      </c>
      <c r="L23" s="302">
        <f t="shared" si="3"/>
        <v>13547.97</v>
      </c>
      <c r="M23" s="302">
        <f t="shared" si="3"/>
        <v>4796</v>
      </c>
      <c r="N23" s="302">
        <f t="shared" si="3"/>
        <v>8751.97</v>
      </c>
      <c r="O23" s="302">
        <f t="shared" si="3"/>
        <v>0</v>
      </c>
      <c r="P23" s="302">
        <f t="shared" si="3"/>
        <v>0</v>
      </c>
      <c r="Q23" s="342">
        <f t="shared" si="3"/>
        <v>0</v>
      </c>
      <c r="R23" s="339">
        <f>K23/E23*100</f>
        <v>10.838376</v>
      </c>
    </row>
    <row r="24" spans="1:18" ht="25.5">
      <c r="A24" s="351"/>
      <c r="B24" s="290" t="s">
        <v>50</v>
      </c>
      <c r="C24" s="306" t="s">
        <v>51</v>
      </c>
      <c r="D24" s="346">
        <f>E24+H24+I24+J24</f>
        <v>125000</v>
      </c>
      <c r="E24" s="292">
        <f>F24+G24</f>
        <v>125000</v>
      </c>
      <c r="F24" s="292">
        <v>16000</v>
      </c>
      <c r="G24" s="292">
        <v>109000</v>
      </c>
      <c r="H24" s="292">
        <v>0</v>
      </c>
      <c r="I24" s="292">
        <v>0</v>
      </c>
      <c r="J24" s="340">
        <v>0</v>
      </c>
      <c r="K24" s="346">
        <f>L24+O24+P24+Q24</f>
        <v>13547.97</v>
      </c>
      <c r="L24" s="292">
        <f>M24+N24</f>
        <v>13547.97</v>
      </c>
      <c r="M24" s="292">
        <v>4796</v>
      </c>
      <c r="N24" s="292">
        <v>8751.97</v>
      </c>
      <c r="O24" s="292">
        <v>0</v>
      </c>
      <c r="P24" s="292">
        <v>0</v>
      </c>
      <c r="Q24" s="340">
        <v>0</v>
      </c>
      <c r="R24" s="340">
        <f>K24/D24*100</f>
        <v>10.838376</v>
      </c>
    </row>
    <row r="25" spans="1:18" ht="12.75">
      <c r="A25" s="341" t="s">
        <v>55</v>
      </c>
      <c r="B25" s="300"/>
      <c r="C25" s="307" t="s">
        <v>396</v>
      </c>
      <c r="D25" s="347">
        <f>SUM(D26:D30)</f>
        <v>1829106</v>
      </c>
      <c r="E25" s="347">
        <f aca="true" t="shared" si="4" ref="E25:Q25">SUM(E26:E30)</f>
        <v>1790506</v>
      </c>
      <c r="F25" s="347">
        <f t="shared" si="4"/>
        <v>1433888</v>
      </c>
      <c r="G25" s="347">
        <f t="shared" si="4"/>
        <v>356618</v>
      </c>
      <c r="H25" s="347">
        <f t="shared" si="4"/>
        <v>0</v>
      </c>
      <c r="I25" s="347">
        <f t="shared" si="4"/>
        <v>38600</v>
      </c>
      <c r="J25" s="347">
        <f t="shared" si="4"/>
        <v>0</v>
      </c>
      <c r="K25" s="347">
        <f t="shared" si="4"/>
        <v>892462.1499999999</v>
      </c>
      <c r="L25" s="347">
        <f t="shared" si="4"/>
        <v>870282.0499999999</v>
      </c>
      <c r="M25" s="347">
        <f t="shared" si="4"/>
        <v>667430.33</v>
      </c>
      <c r="N25" s="347">
        <f t="shared" si="4"/>
        <v>202851.72</v>
      </c>
      <c r="O25" s="347">
        <f t="shared" si="4"/>
        <v>0</v>
      </c>
      <c r="P25" s="347">
        <f t="shared" si="4"/>
        <v>22180.1</v>
      </c>
      <c r="Q25" s="347">
        <f t="shared" si="4"/>
        <v>0</v>
      </c>
      <c r="R25" s="339">
        <f>K25/E25*100</f>
        <v>49.84413065356944</v>
      </c>
    </row>
    <row r="26" spans="1:18" ht="12.75">
      <c r="A26" s="373"/>
      <c r="B26" s="290" t="s">
        <v>57</v>
      </c>
      <c r="C26" s="306" t="s">
        <v>397</v>
      </c>
      <c r="D26" s="346">
        <f>E26+H26+I26+J26</f>
        <v>148042</v>
      </c>
      <c r="E26" s="292">
        <f>F26+G26</f>
        <v>148042</v>
      </c>
      <c r="F26" s="292">
        <v>148042</v>
      </c>
      <c r="G26" s="292">
        <v>0</v>
      </c>
      <c r="H26" s="292">
        <v>0</v>
      </c>
      <c r="I26" s="292">
        <v>0</v>
      </c>
      <c r="J26" s="340">
        <v>0</v>
      </c>
      <c r="K26" s="346">
        <f>L26+O26+P26+Q26</f>
        <v>72226.73</v>
      </c>
      <c r="L26" s="292">
        <f>M26+N26</f>
        <v>72226.73</v>
      </c>
      <c r="M26" s="292">
        <v>72226.73</v>
      </c>
      <c r="N26" s="292">
        <v>0</v>
      </c>
      <c r="O26" s="292">
        <v>0</v>
      </c>
      <c r="P26" s="292">
        <v>0</v>
      </c>
      <c r="Q26" s="340">
        <v>0</v>
      </c>
      <c r="R26" s="340">
        <f>K26/D26*100</f>
        <v>48.78799935153537</v>
      </c>
    </row>
    <row r="27" spans="1:18" ht="12.75">
      <c r="A27" s="374"/>
      <c r="B27" s="290" t="s">
        <v>60</v>
      </c>
      <c r="C27" s="306" t="s">
        <v>61</v>
      </c>
      <c r="D27" s="346">
        <f>E27+H27+I27+J27</f>
        <v>37930</v>
      </c>
      <c r="E27" s="292">
        <f>F27+G27</f>
        <v>2830</v>
      </c>
      <c r="F27" s="292">
        <v>0</v>
      </c>
      <c r="G27" s="292">
        <v>2830</v>
      </c>
      <c r="H27" s="292">
        <v>0</v>
      </c>
      <c r="I27" s="292">
        <v>35100</v>
      </c>
      <c r="J27" s="340">
        <v>0</v>
      </c>
      <c r="K27" s="346">
        <f>L27+O27+P27+Q27</f>
        <v>20150.1</v>
      </c>
      <c r="L27" s="292">
        <f>M27+N27</f>
        <v>0</v>
      </c>
      <c r="M27" s="292">
        <v>0</v>
      </c>
      <c r="N27" s="292">
        <v>0</v>
      </c>
      <c r="O27" s="292">
        <v>0</v>
      </c>
      <c r="P27" s="292">
        <v>20150.1</v>
      </c>
      <c r="Q27" s="340">
        <v>0</v>
      </c>
      <c r="R27" s="340">
        <f>K27/D27*100</f>
        <v>53.12443975744793</v>
      </c>
    </row>
    <row r="28" spans="1:18" ht="12.75">
      <c r="A28" s="374"/>
      <c r="B28" s="290" t="s">
        <v>64</v>
      </c>
      <c r="C28" s="306" t="s">
        <v>65</v>
      </c>
      <c r="D28" s="346">
        <f>E28+H28+I28+J28</f>
        <v>1600334</v>
      </c>
      <c r="E28" s="292">
        <f>F28+G28</f>
        <v>1596834</v>
      </c>
      <c r="F28" s="292">
        <v>1280346</v>
      </c>
      <c r="G28" s="292">
        <v>316488</v>
      </c>
      <c r="H28" s="292">
        <v>0</v>
      </c>
      <c r="I28" s="292">
        <v>3500</v>
      </c>
      <c r="J28" s="340">
        <v>0</v>
      </c>
      <c r="K28" s="346">
        <f>L28+O28+P28+Q28</f>
        <v>773138.24</v>
      </c>
      <c r="L28" s="292">
        <f>M28+N28</f>
        <v>771108.24</v>
      </c>
      <c r="M28" s="292">
        <v>594083.6</v>
      </c>
      <c r="N28" s="292">
        <v>177024.64</v>
      </c>
      <c r="O28" s="292">
        <v>0</v>
      </c>
      <c r="P28" s="292">
        <v>2030</v>
      </c>
      <c r="Q28" s="340">
        <v>0</v>
      </c>
      <c r="R28" s="340">
        <f>K28/D28*100</f>
        <v>48.31105506725471</v>
      </c>
    </row>
    <row r="29" spans="1:18" ht="25.5">
      <c r="A29" s="374"/>
      <c r="B29" s="290" t="s">
        <v>179</v>
      </c>
      <c r="C29" s="306" t="s">
        <v>180</v>
      </c>
      <c r="D29" s="346">
        <f>E29+H29+I29+J29</f>
        <v>27800</v>
      </c>
      <c r="E29" s="292">
        <f>F29+G29</f>
        <v>27800</v>
      </c>
      <c r="F29" s="292">
        <v>2500</v>
      </c>
      <c r="G29" s="292">
        <v>25300</v>
      </c>
      <c r="H29" s="292">
        <v>0</v>
      </c>
      <c r="I29" s="292">
        <v>0</v>
      </c>
      <c r="J29" s="340">
        <v>0</v>
      </c>
      <c r="K29" s="346">
        <f>L29+O29+P29+Q29</f>
        <v>19133.86</v>
      </c>
      <c r="L29" s="292">
        <f>M29+N29</f>
        <v>19133.86</v>
      </c>
      <c r="M29" s="292">
        <v>1120</v>
      </c>
      <c r="N29" s="292">
        <v>18013.86</v>
      </c>
      <c r="O29" s="292">
        <v>0</v>
      </c>
      <c r="P29" s="292">
        <v>0</v>
      </c>
      <c r="Q29" s="340">
        <v>0</v>
      </c>
      <c r="R29" s="340">
        <f>K29/D29*100</f>
        <v>68.82683453237411</v>
      </c>
    </row>
    <row r="30" spans="1:18" ht="12.75">
      <c r="A30" s="374"/>
      <c r="B30" s="290" t="s">
        <v>76</v>
      </c>
      <c r="C30" s="306" t="s">
        <v>15</v>
      </c>
      <c r="D30" s="346">
        <f>E30+H30+I30+J30</f>
        <v>15000</v>
      </c>
      <c r="E30" s="292">
        <f>F30+G30</f>
        <v>15000</v>
      </c>
      <c r="F30" s="292">
        <v>3000</v>
      </c>
      <c r="G30" s="292">
        <v>12000</v>
      </c>
      <c r="H30" s="292">
        <v>0</v>
      </c>
      <c r="I30" s="292">
        <v>0</v>
      </c>
      <c r="J30" s="340">
        <v>0</v>
      </c>
      <c r="K30" s="346">
        <f>L30+O30+P30+Q30</f>
        <v>7813.22</v>
      </c>
      <c r="L30" s="292">
        <f>M30+N30</f>
        <v>7813.22</v>
      </c>
      <c r="M30" s="292">
        <v>0</v>
      </c>
      <c r="N30" s="292">
        <v>7813.22</v>
      </c>
      <c r="O30" s="292">
        <v>0</v>
      </c>
      <c r="P30" s="292">
        <v>0</v>
      </c>
      <c r="Q30" s="340">
        <v>0</v>
      </c>
      <c r="R30" s="340">
        <f>K30/D30*100</f>
        <v>52.08813333333333</v>
      </c>
    </row>
    <row r="31" spans="1:18" ht="38.25">
      <c r="A31" s="341" t="s">
        <v>77</v>
      </c>
      <c r="B31" s="300"/>
      <c r="C31" s="307" t="s">
        <v>398</v>
      </c>
      <c r="D31" s="347">
        <f>SUM(D32:D33)</f>
        <v>25964</v>
      </c>
      <c r="E31" s="347">
        <f aca="true" t="shared" si="5" ref="E31:Q31">SUM(E32:E33)</f>
        <v>10844</v>
      </c>
      <c r="F31" s="347">
        <f t="shared" si="5"/>
        <v>6606</v>
      </c>
      <c r="G31" s="347">
        <f t="shared" si="5"/>
        <v>4238</v>
      </c>
      <c r="H31" s="347">
        <f t="shared" si="5"/>
        <v>0</v>
      </c>
      <c r="I31" s="347">
        <f t="shared" si="5"/>
        <v>15120</v>
      </c>
      <c r="J31" s="347">
        <f t="shared" si="5"/>
        <v>0</v>
      </c>
      <c r="K31" s="347">
        <f t="shared" si="5"/>
        <v>15483.4</v>
      </c>
      <c r="L31" s="347">
        <f t="shared" si="5"/>
        <v>7923.400000000001</v>
      </c>
      <c r="M31" s="347">
        <f t="shared" si="5"/>
        <v>3582.2</v>
      </c>
      <c r="N31" s="347">
        <f t="shared" si="5"/>
        <v>4341.2</v>
      </c>
      <c r="O31" s="347">
        <f t="shared" si="5"/>
        <v>0</v>
      </c>
      <c r="P31" s="347">
        <f t="shared" si="5"/>
        <v>7560</v>
      </c>
      <c r="Q31" s="347">
        <f t="shared" si="5"/>
        <v>0</v>
      </c>
      <c r="R31" s="339">
        <f>K31/E31*100</f>
        <v>142.78310586499444</v>
      </c>
    </row>
    <row r="32" spans="1:18" ht="38.25">
      <c r="A32" s="373"/>
      <c r="B32" s="290" t="s">
        <v>80</v>
      </c>
      <c r="C32" s="306" t="s">
        <v>399</v>
      </c>
      <c r="D32" s="346">
        <f>E32+H32+I32+J32</f>
        <v>944</v>
      </c>
      <c r="E32" s="292">
        <f>F32+G32</f>
        <v>944</v>
      </c>
      <c r="F32" s="292">
        <v>944</v>
      </c>
      <c r="G32" s="292">
        <v>0</v>
      </c>
      <c r="H32" s="292">
        <v>0</v>
      </c>
      <c r="I32" s="292">
        <v>0</v>
      </c>
      <c r="J32" s="340">
        <v>0</v>
      </c>
      <c r="K32" s="346">
        <f>L32+O32+P32+Q32</f>
        <v>469.39</v>
      </c>
      <c r="L32" s="292">
        <f>M32+N32</f>
        <v>469.39</v>
      </c>
      <c r="M32" s="292">
        <v>469.39</v>
      </c>
      <c r="N32" s="292">
        <v>0</v>
      </c>
      <c r="O32" s="292">
        <v>0</v>
      </c>
      <c r="P32" s="292">
        <v>0</v>
      </c>
      <c r="Q32" s="340">
        <v>0</v>
      </c>
      <c r="R32" s="340">
        <f>K32/D32*100</f>
        <v>49.72351694915254</v>
      </c>
    </row>
    <row r="33" spans="1:18" ht="25.5">
      <c r="A33" s="391"/>
      <c r="B33" s="308" t="s">
        <v>561</v>
      </c>
      <c r="C33" s="306" t="s">
        <v>562</v>
      </c>
      <c r="D33" s="346">
        <f>E33+H33+I33+J33</f>
        <v>25020</v>
      </c>
      <c r="E33" s="292">
        <f>F33+G33</f>
        <v>9900</v>
      </c>
      <c r="F33" s="292">
        <v>5662</v>
      </c>
      <c r="G33" s="292">
        <v>4238</v>
      </c>
      <c r="H33" s="292">
        <v>0</v>
      </c>
      <c r="I33" s="292">
        <v>15120</v>
      </c>
      <c r="J33" s="340">
        <v>0</v>
      </c>
      <c r="K33" s="346">
        <f>L33+O33+P33+Q33</f>
        <v>15014.01</v>
      </c>
      <c r="L33" s="292">
        <f>M33+N33</f>
        <v>7454.01</v>
      </c>
      <c r="M33" s="292">
        <v>3112.81</v>
      </c>
      <c r="N33" s="292">
        <v>4341.2</v>
      </c>
      <c r="O33" s="292">
        <v>0</v>
      </c>
      <c r="P33" s="292">
        <v>7560</v>
      </c>
      <c r="Q33" s="340">
        <v>0</v>
      </c>
      <c r="R33" s="340">
        <f>K33/D33*100</f>
        <v>60.00803357314148</v>
      </c>
    </row>
    <row r="34" spans="1:18" ht="25.5">
      <c r="A34" s="341" t="s">
        <v>83</v>
      </c>
      <c r="B34" s="300"/>
      <c r="C34" s="307" t="s">
        <v>400</v>
      </c>
      <c r="D34" s="347">
        <f>SUM(D35:D37)</f>
        <v>248300</v>
      </c>
      <c r="E34" s="347">
        <f aca="true" t="shared" si="6" ref="E34:Q34">SUM(E35:E37)</f>
        <v>241800</v>
      </c>
      <c r="F34" s="347">
        <f t="shared" si="6"/>
        <v>22500</v>
      </c>
      <c r="G34" s="347">
        <f t="shared" si="6"/>
        <v>219300</v>
      </c>
      <c r="H34" s="347">
        <f t="shared" si="6"/>
        <v>0</v>
      </c>
      <c r="I34" s="347">
        <f t="shared" si="6"/>
        <v>6500</v>
      </c>
      <c r="J34" s="347">
        <f t="shared" si="6"/>
        <v>0</v>
      </c>
      <c r="K34" s="347">
        <f t="shared" si="6"/>
        <v>177642.09</v>
      </c>
      <c r="L34" s="347">
        <f t="shared" si="6"/>
        <v>172220.74</v>
      </c>
      <c r="M34" s="347">
        <f t="shared" si="6"/>
        <v>12557.86</v>
      </c>
      <c r="N34" s="347">
        <f t="shared" si="6"/>
        <v>159662.88</v>
      </c>
      <c r="O34" s="347">
        <f t="shared" si="6"/>
        <v>0</v>
      </c>
      <c r="P34" s="347">
        <f t="shared" si="6"/>
        <v>5421.35</v>
      </c>
      <c r="Q34" s="347">
        <f t="shared" si="6"/>
        <v>0</v>
      </c>
      <c r="R34" s="339">
        <f>K34/E34*100</f>
        <v>73.46653846153845</v>
      </c>
    </row>
    <row r="35" spans="1:18" ht="12.75">
      <c r="A35" s="398"/>
      <c r="B35" s="290" t="s">
        <v>86</v>
      </c>
      <c r="C35" s="306" t="s">
        <v>575</v>
      </c>
      <c r="D35" s="346">
        <f>E35+H35+I35+J35</f>
        <v>118100</v>
      </c>
      <c r="E35" s="292">
        <f>F35+G35</f>
        <v>112600</v>
      </c>
      <c r="F35" s="292">
        <v>22500</v>
      </c>
      <c r="G35" s="292">
        <v>90100</v>
      </c>
      <c r="H35" s="292">
        <v>0</v>
      </c>
      <c r="I35" s="292">
        <v>5500</v>
      </c>
      <c r="J35" s="340">
        <v>0</v>
      </c>
      <c r="K35" s="346">
        <f>L35+O35+P35+Q35</f>
        <v>60764.43</v>
      </c>
      <c r="L35" s="292">
        <f>M35+N35</f>
        <v>55343.08</v>
      </c>
      <c r="M35" s="292">
        <v>12557.86</v>
      </c>
      <c r="N35" s="292">
        <v>42785.22</v>
      </c>
      <c r="O35" s="292">
        <v>0</v>
      </c>
      <c r="P35" s="292">
        <v>5421.35</v>
      </c>
      <c r="Q35" s="340">
        <v>0</v>
      </c>
      <c r="R35" s="340">
        <f>K35/D35*100</f>
        <v>51.45167654530059</v>
      </c>
    </row>
    <row r="36" spans="1:18" ht="12.75">
      <c r="A36" s="374"/>
      <c r="B36" s="290" t="s">
        <v>284</v>
      </c>
      <c r="C36" s="306" t="s">
        <v>285</v>
      </c>
      <c r="D36" s="346">
        <f>E36+H36+I36+J36</f>
        <v>200</v>
      </c>
      <c r="E36" s="292">
        <f>F36+G36</f>
        <v>200</v>
      </c>
      <c r="F36" s="292">
        <v>0</v>
      </c>
      <c r="G36" s="292">
        <v>200</v>
      </c>
      <c r="H36" s="292">
        <v>0</v>
      </c>
      <c r="I36" s="292">
        <v>0</v>
      </c>
      <c r="J36" s="340">
        <v>0</v>
      </c>
      <c r="K36" s="346">
        <f>L36+O36+P36+Q36</f>
        <v>19.98</v>
      </c>
      <c r="L36" s="292">
        <f>M36+N36</f>
        <v>19.98</v>
      </c>
      <c r="M36" s="292">
        <v>0</v>
      </c>
      <c r="N36" s="292">
        <v>19.98</v>
      </c>
      <c r="O36" s="292">
        <v>0</v>
      </c>
      <c r="P36" s="292">
        <v>0</v>
      </c>
      <c r="Q36" s="340">
        <v>0</v>
      </c>
      <c r="R36" s="340">
        <f>K36/D36*100</f>
        <v>9.99</v>
      </c>
    </row>
    <row r="37" spans="1:18" ht="25.5">
      <c r="A37" s="374"/>
      <c r="B37" s="290" t="s">
        <v>286</v>
      </c>
      <c r="C37" s="306" t="s">
        <v>47</v>
      </c>
      <c r="D37" s="346">
        <f>E37+H37+I37+J37</f>
        <v>130000</v>
      </c>
      <c r="E37" s="292">
        <f>F37+G37</f>
        <v>129000</v>
      </c>
      <c r="F37" s="292">
        <v>0</v>
      </c>
      <c r="G37" s="292">
        <v>129000</v>
      </c>
      <c r="H37" s="292">
        <v>0</v>
      </c>
      <c r="I37" s="292">
        <v>1000</v>
      </c>
      <c r="J37" s="340">
        <v>0</v>
      </c>
      <c r="K37" s="346">
        <f>L37+O37+P37+Q37</f>
        <v>116857.68</v>
      </c>
      <c r="L37" s="292">
        <f>M37+N37</f>
        <v>116857.68</v>
      </c>
      <c r="M37" s="292">
        <v>0</v>
      </c>
      <c r="N37" s="292">
        <v>116857.68</v>
      </c>
      <c r="O37" s="292">
        <v>0</v>
      </c>
      <c r="P37" s="292">
        <v>0</v>
      </c>
      <c r="Q37" s="340">
        <v>0</v>
      </c>
      <c r="R37" s="340">
        <f>K37/D37*100</f>
        <v>89.89052307692307</v>
      </c>
    </row>
    <row r="38" spans="1:18" ht="25.5">
      <c r="A38" s="341" t="s">
        <v>173</v>
      </c>
      <c r="B38" s="300"/>
      <c r="C38" s="307" t="s">
        <v>176</v>
      </c>
      <c r="D38" s="347">
        <f>D39</f>
        <v>42500</v>
      </c>
      <c r="E38" s="302">
        <f aca="true" t="shared" si="7" ref="E38:Q38">E39</f>
        <v>1500</v>
      </c>
      <c r="F38" s="302">
        <f t="shared" si="7"/>
        <v>0</v>
      </c>
      <c r="G38" s="302">
        <f t="shared" si="7"/>
        <v>1500</v>
      </c>
      <c r="H38" s="302">
        <f t="shared" si="7"/>
        <v>0</v>
      </c>
      <c r="I38" s="302">
        <f t="shared" si="7"/>
        <v>41000</v>
      </c>
      <c r="J38" s="342">
        <f t="shared" si="7"/>
        <v>0</v>
      </c>
      <c r="K38" s="347">
        <f>K39</f>
        <v>21193.219999999998</v>
      </c>
      <c r="L38" s="302">
        <f t="shared" si="7"/>
        <v>108.05</v>
      </c>
      <c r="M38" s="302">
        <f t="shared" si="7"/>
        <v>0</v>
      </c>
      <c r="N38" s="302">
        <f t="shared" si="7"/>
        <v>108.05</v>
      </c>
      <c r="O38" s="302">
        <f t="shared" si="7"/>
        <v>0</v>
      </c>
      <c r="P38" s="302">
        <f t="shared" si="7"/>
        <v>21085.17</v>
      </c>
      <c r="Q38" s="342">
        <f t="shared" si="7"/>
        <v>0</v>
      </c>
      <c r="R38" s="339">
        <f>K38/E38*100</f>
        <v>1412.8813333333333</v>
      </c>
    </row>
    <row r="39" spans="1:18" ht="38.25">
      <c r="A39" s="351"/>
      <c r="B39" s="290" t="s">
        <v>174</v>
      </c>
      <c r="C39" s="306" t="s">
        <v>175</v>
      </c>
      <c r="D39" s="346">
        <f>E39+H39+I39+J39</f>
        <v>42500</v>
      </c>
      <c r="E39" s="292">
        <f>F39+G39</f>
        <v>1500</v>
      </c>
      <c r="F39" s="292">
        <v>0</v>
      </c>
      <c r="G39" s="292">
        <v>1500</v>
      </c>
      <c r="H39" s="292">
        <v>0</v>
      </c>
      <c r="I39" s="292">
        <v>41000</v>
      </c>
      <c r="J39" s="340">
        <v>0</v>
      </c>
      <c r="K39" s="346">
        <f>L39+O39+P39+Q39</f>
        <v>21193.219999999998</v>
      </c>
      <c r="L39" s="292">
        <f>M39+N39</f>
        <v>108.05</v>
      </c>
      <c r="M39" s="292">
        <v>0</v>
      </c>
      <c r="N39" s="292">
        <v>108.05</v>
      </c>
      <c r="O39" s="292">
        <v>0</v>
      </c>
      <c r="P39" s="292">
        <v>21085.17</v>
      </c>
      <c r="Q39" s="340">
        <v>0</v>
      </c>
      <c r="R39" s="340">
        <f>K39/D39*100</f>
        <v>49.86639999999999</v>
      </c>
    </row>
    <row r="40" spans="1:18" ht="12.75">
      <c r="A40" s="341" t="s">
        <v>197</v>
      </c>
      <c r="B40" s="300"/>
      <c r="C40" s="307" t="s">
        <v>198</v>
      </c>
      <c r="D40" s="347">
        <f>D41</f>
        <v>50000</v>
      </c>
      <c r="E40" s="302">
        <f aca="true" t="shared" si="8" ref="E40:Q40">E41</f>
        <v>0</v>
      </c>
      <c r="F40" s="302">
        <f t="shared" si="8"/>
        <v>0</v>
      </c>
      <c r="G40" s="302">
        <f t="shared" si="8"/>
        <v>0</v>
      </c>
      <c r="H40" s="302">
        <f t="shared" si="8"/>
        <v>0</v>
      </c>
      <c r="I40" s="302">
        <f t="shared" si="8"/>
        <v>0</v>
      </c>
      <c r="J40" s="342">
        <f t="shared" si="8"/>
        <v>50000</v>
      </c>
      <c r="K40" s="347">
        <f>K41</f>
        <v>15572.55</v>
      </c>
      <c r="L40" s="302">
        <f t="shared" si="8"/>
        <v>0</v>
      </c>
      <c r="M40" s="302">
        <f t="shared" si="8"/>
        <v>0</v>
      </c>
      <c r="N40" s="302">
        <f t="shared" si="8"/>
        <v>0</v>
      </c>
      <c r="O40" s="302">
        <f t="shared" si="8"/>
        <v>0</v>
      </c>
      <c r="P40" s="302">
        <f t="shared" si="8"/>
        <v>0</v>
      </c>
      <c r="Q40" s="342">
        <f t="shared" si="8"/>
        <v>15572.55</v>
      </c>
      <c r="R40" s="339" t="e">
        <f>K40/E40*100</f>
        <v>#DIV/0!</v>
      </c>
    </row>
    <row r="41" spans="1:18" ht="38.25">
      <c r="A41" s="351"/>
      <c r="B41" s="290" t="s">
        <v>199</v>
      </c>
      <c r="C41" s="306" t="s">
        <v>401</v>
      </c>
      <c r="D41" s="346">
        <f>E41+H41+I41+J41</f>
        <v>50000</v>
      </c>
      <c r="E41" s="292">
        <f>F41+G41</f>
        <v>0</v>
      </c>
      <c r="F41" s="292">
        <v>0</v>
      </c>
      <c r="G41" s="292">
        <v>0</v>
      </c>
      <c r="H41" s="292">
        <v>0</v>
      </c>
      <c r="I41" s="292">
        <v>0</v>
      </c>
      <c r="J41" s="340">
        <v>50000</v>
      </c>
      <c r="K41" s="346">
        <f>L41+O41+P41+Q41</f>
        <v>15572.55</v>
      </c>
      <c r="L41" s="292">
        <f>M41+N41</f>
        <v>0</v>
      </c>
      <c r="M41" s="292">
        <v>0</v>
      </c>
      <c r="N41" s="292">
        <v>0</v>
      </c>
      <c r="O41" s="292">
        <v>0</v>
      </c>
      <c r="P41" s="292">
        <v>0</v>
      </c>
      <c r="Q41" s="340">
        <v>15572.55</v>
      </c>
      <c r="R41" s="340">
        <f>K41/D41*100</f>
        <v>31.1451</v>
      </c>
    </row>
    <row r="42" spans="1:18" ht="12.75">
      <c r="A42" s="341" t="s">
        <v>90</v>
      </c>
      <c r="B42" s="300"/>
      <c r="C42" s="307" t="s">
        <v>91</v>
      </c>
      <c r="D42" s="347">
        <f>D43</f>
        <v>30185</v>
      </c>
      <c r="E42" s="302">
        <f aca="true" t="shared" si="9" ref="E42:Q42">E43</f>
        <v>30185</v>
      </c>
      <c r="F42" s="302">
        <f t="shared" si="9"/>
        <v>0</v>
      </c>
      <c r="G42" s="302">
        <f t="shared" si="9"/>
        <v>30185</v>
      </c>
      <c r="H42" s="302">
        <f t="shared" si="9"/>
        <v>0</v>
      </c>
      <c r="I42" s="302">
        <f t="shared" si="9"/>
        <v>0</v>
      </c>
      <c r="J42" s="342">
        <f t="shared" si="9"/>
        <v>0</v>
      </c>
      <c r="K42" s="347">
        <f>K43</f>
        <v>0</v>
      </c>
      <c r="L42" s="302">
        <f t="shared" si="9"/>
        <v>0</v>
      </c>
      <c r="M42" s="302">
        <f t="shared" si="9"/>
        <v>0</v>
      </c>
      <c r="N42" s="302">
        <f t="shared" si="9"/>
        <v>0</v>
      </c>
      <c r="O42" s="302">
        <f t="shared" si="9"/>
        <v>0</v>
      </c>
      <c r="P42" s="302">
        <f t="shared" si="9"/>
        <v>0</v>
      </c>
      <c r="Q42" s="342">
        <f t="shared" si="9"/>
        <v>0</v>
      </c>
      <c r="R42" s="339">
        <f>K42/E42*100</f>
        <v>0</v>
      </c>
    </row>
    <row r="43" spans="1:18" ht="12.75">
      <c r="A43" s="343"/>
      <c r="B43" s="290" t="s">
        <v>92</v>
      </c>
      <c r="C43" s="306" t="s">
        <v>93</v>
      </c>
      <c r="D43" s="346">
        <f>E43+H43+I43+J43</f>
        <v>30185</v>
      </c>
      <c r="E43" s="292">
        <f>F43+G43</f>
        <v>30185</v>
      </c>
      <c r="F43" s="292">
        <v>0</v>
      </c>
      <c r="G43" s="292">
        <v>30185</v>
      </c>
      <c r="H43" s="292">
        <v>0</v>
      </c>
      <c r="I43" s="292">
        <v>0</v>
      </c>
      <c r="J43" s="340">
        <v>0</v>
      </c>
      <c r="K43" s="346">
        <f>L43+O43+P43+Q43</f>
        <v>0</v>
      </c>
      <c r="L43" s="292">
        <f>M43+N43</f>
        <v>0</v>
      </c>
      <c r="M43" s="292">
        <v>0</v>
      </c>
      <c r="N43" s="292">
        <v>0</v>
      </c>
      <c r="O43" s="292">
        <v>0</v>
      </c>
      <c r="P43" s="292">
        <v>0</v>
      </c>
      <c r="Q43" s="340">
        <v>0</v>
      </c>
      <c r="R43" s="340">
        <f>K43/D43*100</f>
        <v>0</v>
      </c>
    </row>
    <row r="44" spans="1:18" ht="12.75">
      <c r="A44" s="341" t="s">
        <v>96</v>
      </c>
      <c r="B44" s="300"/>
      <c r="C44" s="307" t="s">
        <v>384</v>
      </c>
      <c r="D44" s="347">
        <f aca="true" t="shared" si="10" ref="D44:Q44">D45+D46+D47+D48+D49+D50+D51</f>
        <v>5470578</v>
      </c>
      <c r="E44" s="302">
        <f t="shared" si="10"/>
        <v>5245678</v>
      </c>
      <c r="F44" s="302">
        <f t="shared" si="10"/>
        <v>4325529</v>
      </c>
      <c r="G44" s="302">
        <f t="shared" si="10"/>
        <v>920149</v>
      </c>
      <c r="H44" s="302">
        <f t="shared" si="10"/>
        <v>0</v>
      </c>
      <c r="I44" s="302">
        <f t="shared" si="10"/>
        <v>224900</v>
      </c>
      <c r="J44" s="342">
        <f t="shared" si="10"/>
        <v>0</v>
      </c>
      <c r="K44" s="347">
        <f t="shared" si="10"/>
        <v>2863211.0899999994</v>
      </c>
      <c r="L44" s="302">
        <f t="shared" si="10"/>
        <v>2783124.7399999998</v>
      </c>
      <c r="M44" s="302">
        <f t="shared" si="10"/>
        <v>2273437.93</v>
      </c>
      <c r="N44" s="302">
        <f t="shared" si="10"/>
        <v>509686.81</v>
      </c>
      <c r="O44" s="302">
        <f t="shared" si="10"/>
        <v>0</v>
      </c>
      <c r="P44" s="302">
        <f t="shared" si="10"/>
        <v>80086.35</v>
      </c>
      <c r="Q44" s="342">
        <f t="shared" si="10"/>
        <v>0</v>
      </c>
      <c r="R44" s="339">
        <f>K44/E44*100</f>
        <v>54.58228831430368</v>
      </c>
    </row>
    <row r="45" spans="1:18" ht="12.75">
      <c r="A45" s="373"/>
      <c r="B45" s="290" t="s">
        <v>164</v>
      </c>
      <c r="C45" s="306" t="s">
        <v>588</v>
      </c>
      <c r="D45" s="346">
        <f>E45+H45+I45+J45</f>
        <v>3354511</v>
      </c>
      <c r="E45" s="292">
        <f>F45+G45</f>
        <v>3211311</v>
      </c>
      <c r="F45" s="292">
        <v>2760413</v>
      </c>
      <c r="G45" s="292">
        <v>450898</v>
      </c>
      <c r="H45" s="292">
        <v>0</v>
      </c>
      <c r="I45" s="292">
        <v>143200</v>
      </c>
      <c r="J45" s="340">
        <v>0</v>
      </c>
      <c r="K45" s="346">
        <f>L45+O45+P45+Q45</f>
        <v>1801237.44</v>
      </c>
      <c r="L45" s="292">
        <f>M45+N45</f>
        <v>1750293.74</v>
      </c>
      <c r="M45" s="292">
        <v>1485222.01</v>
      </c>
      <c r="N45" s="292">
        <v>265071.73</v>
      </c>
      <c r="O45" s="292">
        <v>0</v>
      </c>
      <c r="P45" s="292">
        <v>50943.7</v>
      </c>
      <c r="Q45" s="340">
        <v>0</v>
      </c>
      <c r="R45" s="340">
        <f>K45/D45*100</f>
        <v>53.69597655217109</v>
      </c>
    </row>
    <row r="46" spans="1:18" ht="25.5">
      <c r="A46" s="398"/>
      <c r="B46" s="290" t="s">
        <v>295</v>
      </c>
      <c r="C46" s="306" t="s">
        <v>403</v>
      </c>
      <c r="D46" s="346">
        <f aca="true" t="shared" si="11" ref="D46:D51">E46+H46+I46+J46</f>
        <v>375021</v>
      </c>
      <c r="E46" s="292">
        <f aca="true" t="shared" si="12" ref="E46:E51">F46+G46</f>
        <v>357121</v>
      </c>
      <c r="F46" s="292">
        <v>270571</v>
      </c>
      <c r="G46" s="292">
        <v>86550</v>
      </c>
      <c r="H46" s="292">
        <v>0</v>
      </c>
      <c r="I46" s="292">
        <v>17900</v>
      </c>
      <c r="J46" s="340">
        <v>0</v>
      </c>
      <c r="K46" s="346">
        <f aca="true" t="shared" si="13" ref="K46:K51">L46+O46+P46+Q46</f>
        <v>203819.88</v>
      </c>
      <c r="L46" s="292">
        <f aca="true" t="shared" si="14" ref="L46:L51">M46+N46</f>
        <v>197113.88</v>
      </c>
      <c r="M46" s="292">
        <v>153058.94</v>
      </c>
      <c r="N46" s="292">
        <v>44054.94</v>
      </c>
      <c r="O46" s="292">
        <v>0</v>
      </c>
      <c r="P46" s="292">
        <v>6706</v>
      </c>
      <c r="Q46" s="340">
        <v>0</v>
      </c>
      <c r="R46" s="340">
        <f aca="true" t="shared" si="15" ref="R46:R51">K46/D46*100</f>
        <v>54.34892446023023</v>
      </c>
    </row>
    <row r="47" spans="1:18" ht="12.75">
      <c r="A47" s="398"/>
      <c r="B47" s="290" t="s">
        <v>246</v>
      </c>
      <c r="C47" s="306" t="s">
        <v>247</v>
      </c>
      <c r="D47" s="346">
        <f t="shared" si="11"/>
        <v>1283812</v>
      </c>
      <c r="E47" s="292">
        <f t="shared" si="12"/>
        <v>1223512</v>
      </c>
      <c r="F47" s="292">
        <v>1079812</v>
      </c>
      <c r="G47" s="292">
        <v>143700</v>
      </c>
      <c r="H47" s="292">
        <v>0</v>
      </c>
      <c r="I47" s="292">
        <v>60300</v>
      </c>
      <c r="J47" s="340">
        <v>0</v>
      </c>
      <c r="K47" s="346">
        <f t="shared" si="13"/>
        <v>637905.2100000001</v>
      </c>
      <c r="L47" s="292">
        <f t="shared" si="14"/>
        <v>615728.56</v>
      </c>
      <c r="M47" s="292">
        <v>542375.13</v>
      </c>
      <c r="N47" s="292">
        <v>73353.43</v>
      </c>
      <c r="O47" s="292">
        <v>0</v>
      </c>
      <c r="P47" s="292">
        <v>22176.65</v>
      </c>
      <c r="Q47" s="340">
        <v>0</v>
      </c>
      <c r="R47" s="340">
        <f t="shared" si="15"/>
        <v>49.68836636516874</v>
      </c>
    </row>
    <row r="48" spans="1:18" ht="16.5" customHeight="1">
      <c r="A48" s="398"/>
      <c r="B48" s="290" t="s">
        <v>298</v>
      </c>
      <c r="C48" s="306" t="s">
        <v>299</v>
      </c>
      <c r="D48" s="346">
        <f t="shared" si="11"/>
        <v>148200</v>
      </c>
      <c r="E48" s="292">
        <f t="shared" si="12"/>
        <v>148200</v>
      </c>
      <c r="F48" s="292">
        <v>6000</v>
      </c>
      <c r="G48" s="292">
        <v>142200</v>
      </c>
      <c r="H48" s="292">
        <v>0</v>
      </c>
      <c r="I48" s="292">
        <v>0</v>
      </c>
      <c r="J48" s="340">
        <v>0</v>
      </c>
      <c r="K48" s="346">
        <f t="shared" si="13"/>
        <v>77297.62999999999</v>
      </c>
      <c r="L48" s="292">
        <f t="shared" si="14"/>
        <v>77297.62999999999</v>
      </c>
      <c r="M48" s="292">
        <v>2067.43</v>
      </c>
      <c r="N48" s="292">
        <v>75230.2</v>
      </c>
      <c r="O48" s="292">
        <v>0</v>
      </c>
      <c r="P48" s="292">
        <v>0</v>
      </c>
      <c r="Q48" s="340">
        <v>0</v>
      </c>
      <c r="R48" s="340">
        <f t="shared" si="15"/>
        <v>52.157645074224014</v>
      </c>
    </row>
    <row r="49" spans="1:18" ht="25.5">
      <c r="A49" s="398"/>
      <c r="B49" s="290" t="s">
        <v>300</v>
      </c>
      <c r="C49" s="306" t="s">
        <v>589</v>
      </c>
      <c r="D49" s="346">
        <f t="shared" si="11"/>
        <v>255034</v>
      </c>
      <c r="E49" s="292">
        <f t="shared" si="12"/>
        <v>251534</v>
      </c>
      <c r="F49" s="292">
        <v>208733</v>
      </c>
      <c r="G49" s="292">
        <v>42801</v>
      </c>
      <c r="H49" s="292">
        <v>0</v>
      </c>
      <c r="I49" s="292">
        <v>3500</v>
      </c>
      <c r="J49" s="340">
        <v>0</v>
      </c>
      <c r="K49" s="346">
        <f t="shared" si="13"/>
        <v>108787.63</v>
      </c>
      <c r="L49" s="292">
        <f t="shared" si="14"/>
        <v>108527.63</v>
      </c>
      <c r="M49" s="292">
        <v>90714.42</v>
      </c>
      <c r="N49" s="292">
        <v>17813.21</v>
      </c>
      <c r="O49" s="292">
        <v>0</v>
      </c>
      <c r="P49" s="292">
        <v>260</v>
      </c>
      <c r="Q49" s="340">
        <v>0</v>
      </c>
      <c r="R49" s="340">
        <f t="shared" si="15"/>
        <v>42.656128202514175</v>
      </c>
    </row>
    <row r="50" spans="1:18" ht="25.5">
      <c r="A50" s="398"/>
      <c r="B50" s="290" t="s">
        <v>304</v>
      </c>
      <c r="C50" s="306" t="s">
        <v>305</v>
      </c>
      <c r="D50" s="346">
        <f t="shared" si="11"/>
        <v>26200</v>
      </c>
      <c r="E50" s="292">
        <f t="shared" si="12"/>
        <v>26200</v>
      </c>
      <c r="F50" s="292">
        <v>0</v>
      </c>
      <c r="G50" s="292">
        <v>26200</v>
      </c>
      <c r="H50" s="292">
        <v>0</v>
      </c>
      <c r="I50" s="292">
        <v>0</v>
      </c>
      <c r="J50" s="340">
        <v>0</v>
      </c>
      <c r="K50" s="346">
        <f t="shared" si="13"/>
        <v>6363.3</v>
      </c>
      <c r="L50" s="292">
        <f t="shared" si="14"/>
        <v>6363.3</v>
      </c>
      <c r="M50" s="292">
        <v>0</v>
      </c>
      <c r="N50" s="292">
        <v>6363.3</v>
      </c>
      <c r="O50" s="292">
        <v>0</v>
      </c>
      <c r="P50" s="292">
        <v>0</v>
      </c>
      <c r="Q50" s="340">
        <v>0</v>
      </c>
      <c r="R50" s="340">
        <f t="shared" si="15"/>
        <v>24.28740458015267</v>
      </c>
    </row>
    <row r="51" spans="1:18" ht="12.75">
      <c r="A51" s="398"/>
      <c r="B51" s="290" t="s">
        <v>170</v>
      </c>
      <c r="C51" s="306" t="s">
        <v>15</v>
      </c>
      <c r="D51" s="346">
        <f t="shared" si="11"/>
        <v>27800</v>
      </c>
      <c r="E51" s="292">
        <f t="shared" si="12"/>
        <v>27800</v>
      </c>
      <c r="F51" s="292">
        <v>0</v>
      </c>
      <c r="G51" s="292">
        <v>27800</v>
      </c>
      <c r="H51" s="292">
        <v>0</v>
      </c>
      <c r="I51" s="292">
        <v>0</v>
      </c>
      <c r="J51" s="340">
        <v>0</v>
      </c>
      <c r="K51" s="346">
        <f t="shared" si="13"/>
        <v>27800</v>
      </c>
      <c r="L51" s="292">
        <f t="shared" si="14"/>
        <v>27800</v>
      </c>
      <c r="M51" s="292">
        <v>0</v>
      </c>
      <c r="N51" s="292">
        <v>27800</v>
      </c>
      <c r="O51" s="292">
        <v>0</v>
      </c>
      <c r="P51" s="292">
        <v>0</v>
      </c>
      <c r="Q51" s="340">
        <v>0</v>
      </c>
      <c r="R51" s="340">
        <f t="shared" si="15"/>
        <v>100</v>
      </c>
    </row>
    <row r="52" spans="1:18" ht="12.75">
      <c r="A52" s="341" t="s">
        <v>99</v>
      </c>
      <c r="B52" s="300"/>
      <c r="C52" s="307" t="s">
        <v>100</v>
      </c>
      <c r="D52" s="347">
        <f aca="true" t="shared" si="16" ref="D52:Q52">D53+D54+D55</f>
        <v>50000</v>
      </c>
      <c r="E52" s="302">
        <f t="shared" si="16"/>
        <v>40500</v>
      </c>
      <c r="F52" s="302">
        <f t="shared" si="16"/>
        <v>29003</v>
      </c>
      <c r="G52" s="302">
        <f t="shared" si="16"/>
        <v>11497</v>
      </c>
      <c r="H52" s="302">
        <f t="shared" si="16"/>
        <v>9500</v>
      </c>
      <c r="I52" s="302">
        <f t="shared" si="16"/>
        <v>0</v>
      </c>
      <c r="J52" s="342">
        <f t="shared" si="16"/>
        <v>0</v>
      </c>
      <c r="K52" s="347">
        <f t="shared" si="16"/>
        <v>27986.86</v>
      </c>
      <c r="L52" s="302">
        <f t="shared" si="16"/>
        <v>27986.86</v>
      </c>
      <c r="M52" s="302">
        <f t="shared" si="16"/>
        <v>20978.26</v>
      </c>
      <c r="N52" s="302">
        <f t="shared" si="16"/>
        <v>7008.6</v>
      </c>
      <c r="O52" s="302">
        <f t="shared" si="16"/>
        <v>0</v>
      </c>
      <c r="P52" s="302">
        <f t="shared" si="16"/>
        <v>0</v>
      </c>
      <c r="Q52" s="342">
        <f t="shared" si="16"/>
        <v>0</v>
      </c>
      <c r="R52" s="339">
        <f>K52/E52*100</f>
        <v>69.10335802469136</v>
      </c>
    </row>
    <row r="53" spans="1:18" ht="12.75">
      <c r="A53" s="373"/>
      <c r="B53" s="290" t="s">
        <v>181</v>
      </c>
      <c r="C53" s="306" t="s">
        <v>182</v>
      </c>
      <c r="D53" s="346">
        <f>E53+H53+I53+J53</f>
        <v>300</v>
      </c>
      <c r="E53" s="292">
        <f>F53+G53</f>
        <v>300</v>
      </c>
      <c r="F53" s="292">
        <v>100</v>
      </c>
      <c r="G53" s="292">
        <v>200</v>
      </c>
      <c r="H53" s="292">
        <v>0</v>
      </c>
      <c r="I53" s="292">
        <v>0</v>
      </c>
      <c r="J53" s="340">
        <v>0</v>
      </c>
      <c r="K53" s="346">
        <f>L53+O53+P53+Q53</f>
        <v>0</v>
      </c>
      <c r="L53" s="292">
        <f>M53+N53</f>
        <v>0</v>
      </c>
      <c r="M53" s="292">
        <v>0</v>
      </c>
      <c r="N53" s="292">
        <v>0</v>
      </c>
      <c r="O53" s="292">
        <v>0</v>
      </c>
      <c r="P53" s="292">
        <v>0</v>
      </c>
      <c r="Q53" s="340">
        <v>0</v>
      </c>
      <c r="R53" s="340">
        <f>K53/D53*100</f>
        <v>0</v>
      </c>
    </row>
    <row r="54" spans="1:18" ht="15.75" customHeight="1">
      <c r="A54" s="398"/>
      <c r="B54" s="290" t="s">
        <v>101</v>
      </c>
      <c r="C54" s="306" t="s">
        <v>102</v>
      </c>
      <c r="D54" s="346">
        <f>E54+H54+I54+J54</f>
        <v>40200</v>
      </c>
      <c r="E54" s="292">
        <f>F54+G54</f>
        <v>40200</v>
      </c>
      <c r="F54" s="292">
        <v>28903</v>
      </c>
      <c r="G54" s="292">
        <v>11297</v>
      </c>
      <c r="H54" s="292">
        <v>0</v>
      </c>
      <c r="I54" s="292">
        <v>0</v>
      </c>
      <c r="J54" s="340">
        <v>0</v>
      </c>
      <c r="K54" s="346">
        <f>L54+O54+P54+Q54</f>
        <v>27986.86</v>
      </c>
      <c r="L54" s="292">
        <f>M54+N54</f>
        <v>27986.86</v>
      </c>
      <c r="M54" s="292">
        <v>20978.26</v>
      </c>
      <c r="N54" s="292">
        <v>7008.6</v>
      </c>
      <c r="O54" s="292">
        <v>0</v>
      </c>
      <c r="P54" s="292">
        <v>0</v>
      </c>
      <c r="Q54" s="340">
        <v>0</v>
      </c>
      <c r="R54" s="340">
        <f>K54/D54*100</f>
        <v>69.61905472636816</v>
      </c>
    </row>
    <row r="55" spans="1:18" ht="12.75">
      <c r="A55" s="398"/>
      <c r="B55" s="290" t="s">
        <v>103</v>
      </c>
      <c r="C55" s="306" t="s">
        <v>15</v>
      </c>
      <c r="D55" s="346">
        <f>E55+H55+I55+J55</f>
        <v>9500</v>
      </c>
      <c r="E55" s="292">
        <f>F55+G55</f>
        <v>0</v>
      </c>
      <c r="F55" s="292">
        <v>0</v>
      </c>
      <c r="G55" s="292">
        <v>0</v>
      </c>
      <c r="H55" s="292">
        <v>9500</v>
      </c>
      <c r="I55" s="292">
        <v>0</v>
      </c>
      <c r="J55" s="340">
        <v>0</v>
      </c>
      <c r="K55" s="346">
        <f>L55+O55+P55+Q55</f>
        <v>0</v>
      </c>
      <c r="L55" s="292">
        <f>M55+N55</f>
        <v>0</v>
      </c>
      <c r="M55" s="292">
        <v>0</v>
      </c>
      <c r="N55" s="292">
        <v>0</v>
      </c>
      <c r="O55" s="292">
        <v>0</v>
      </c>
      <c r="P55" s="292">
        <v>0</v>
      </c>
      <c r="Q55" s="340">
        <v>0</v>
      </c>
      <c r="R55" s="340">
        <f>K55/D55*100</f>
        <v>0</v>
      </c>
    </row>
    <row r="56" spans="1:18" ht="12.75">
      <c r="A56" s="341" t="s">
        <v>108</v>
      </c>
      <c r="B56" s="300"/>
      <c r="C56" s="307" t="s">
        <v>109</v>
      </c>
      <c r="D56" s="347">
        <f>SUM(D57:D66)</f>
        <v>3967288</v>
      </c>
      <c r="E56" s="347">
        <f aca="true" t="shared" si="17" ref="E56:Q56">SUM(E57:E66)</f>
        <v>1045509</v>
      </c>
      <c r="F56" s="347">
        <f t="shared" si="17"/>
        <v>451225.71</v>
      </c>
      <c r="G56" s="347">
        <f t="shared" si="17"/>
        <v>594283.29</v>
      </c>
      <c r="H56" s="347">
        <f t="shared" si="17"/>
        <v>0</v>
      </c>
      <c r="I56" s="347">
        <f t="shared" si="17"/>
        <v>2921779</v>
      </c>
      <c r="J56" s="347">
        <f t="shared" si="17"/>
        <v>0</v>
      </c>
      <c r="K56" s="347">
        <f t="shared" si="17"/>
        <v>1959811.7300000002</v>
      </c>
      <c r="L56" s="347">
        <f t="shared" si="17"/>
        <v>503094.25</v>
      </c>
      <c r="M56" s="347">
        <f t="shared" si="17"/>
        <v>196272.43</v>
      </c>
      <c r="N56" s="347">
        <f t="shared" si="17"/>
        <v>306821.82</v>
      </c>
      <c r="O56" s="347">
        <f t="shared" si="17"/>
        <v>0</v>
      </c>
      <c r="P56" s="347">
        <f t="shared" si="17"/>
        <v>1456717.4800000002</v>
      </c>
      <c r="Q56" s="347">
        <f t="shared" si="17"/>
        <v>0</v>
      </c>
      <c r="R56" s="339">
        <f>K56/E56*100</f>
        <v>187.45048870932726</v>
      </c>
    </row>
    <row r="57" spans="1:18" ht="12.75">
      <c r="A57" s="373"/>
      <c r="B57" s="290" t="s">
        <v>110</v>
      </c>
      <c r="C57" s="306" t="s">
        <v>111</v>
      </c>
      <c r="D57" s="346">
        <f>E57+H57+I57+J57</f>
        <v>90000</v>
      </c>
      <c r="E57" s="292">
        <f>F57+G57</f>
        <v>90000</v>
      </c>
      <c r="F57" s="292">
        <v>0</v>
      </c>
      <c r="G57" s="292">
        <v>90000</v>
      </c>
      <c r="H57" s="292">
        <v>0</v>
      </c>
      <c r="I57" s="292">
        <v>0</v>
      </c>
      <c r="J57" s="340">
        <v>0</v>
      </c>
      <c r="K57" s="346">
        <f>L57+O57+P57+Q57</f>
        <v>41082.69</v>
      </c>
      <c r="L57" s="292">
        <f>M57+N57</f>
        <v>41082.69</v>
      </c>
      <c r="M57" s="292">
        <v>0</v>
      </c>
      <c r="N57" s="292">
        <v>41082.69</v>
      </c>
      <c r="O57" s="292">
        <v>0</v>
      </c>
      <c r="P57" s="292">
        <v>0</v>
      </c>
      <c r="Q57" s="340">
        <v>0</v>
      </c>
      <c r="R57" s="340">
        <f>K57/D57*100</f>
        <v>45.64743333333334</v>
      </c>
    </row>
    <row r="58" spans="1:18" ht="63.75">
      <c r="A58" s="374"/>
      <c r="B58" s="290" t="s">
        <v>112</v>
      </c>
      <c r="C58" s="306" t="s">
        <v>590</v>
      </c>
      <c r="D58" s="346">
        <f aca="true" t="shared" si="18" ref="D58:D66">E58+H58+I58+J58</f>
        <v>2354671</v>
      </c>
      <c r="E58" s="292">
        <f aca="true" t="shared" si="19" ref="E58:E66">F58+G58</f>
        <v>109522</v>
      </c>
      <c r="F58" s="292">
        <v>87929</v>
      </c>
      <c r="G58" s="292">
        <v>21593</v>
      </c>
      <c r="H58" s="292">
        <v>0</v>
      </c>
      <c r="I58" s="292">
        <v>2245149</v>
      </c>
      <c r="J58" s="340">
        <v>0</v>
      </c>
      <c r="K58" s="346">
        <f aca="true" t="shared" si="20" ref="K58:K66">L58+O58+P58+Q58</f>
        <v>1182380.03</v>
      </c>
      <c r="L58" s="292">
        <f aca="true" t="shared" si="21" ref="L58:L66">M58+N58</f>
        <v>52161.45</v>
      </c>
      <c r="M58" s="292">
        <v>36601.17</v>
      </c>
      <c r="N58" s="292">
        <v>15560.28</v>
      </c>
      <c r="O58" s="292">
        <v>0</v>
      </c>
      <c r="P58" s="292">
        <v>1130218.58</v>
      </c>
      <c r="Q58" s="340">
        <v>0</v>
      </c>
      <c r="R58" s="340">
        <f aca="true" t="shared" si="22" ref="R58:R66">K58/D58*100</f>
        <v>50.21423502476567</v>
      </c>
    </row>
    <row r="59" spans="1:18" ht="82.5" customHeight="1">
      <c r="A59" s="374"/>
      <c r="B59" s="290" t="s">
        <v>118</v>
      </c>
      <c r="C59" s="306" t="s">
        <v>444</v>
      </c>
      <c r="D59" s="346">
        <f t="shared" si="18"/>
        <v>5430</v>
      </c>
      <c r="E59" s="292">
        <f t="shared" si="19"/>
        <v>5430</v>
      </c>
      <c r="F59" s="292">
        <v>5430</v>
      </c>
      <c r="G59" s="292">
        <v>0</v>
      </c>
      <c r="H59" s="292">
        <v>0</v>
      </c>
      <c r="I59" s="292">
        <v>0</v>
      </c>
      <c r="J59" s="340">
        <v>0</v>
      </c>
      <c r="K59" s="346">
        <f t="shared" si="20"/>
        <v>2266.84</v>
      </c>
      <c r="L59" s="292">
        <f t="shared" si="21"/>
        <v>2266.84</v>
      </c>
      <c r="M59" s="292">
        <v>2266.84</v>
      </c>
      <c r="N59" s="292">
        <v>0</v>
      </c>
      <c r="O59" s="292">
        <v>0</v>
      </c>
      <c r="P59" s="292">
        <v>0</v>
      </c>
      <c r="Q59" s="340">
        <v>0</v>
      </c>
      <c r="R59" s="340">
        <f t="shared" si="22"/>
        <v>41.746593001841624</v>
      </c>
    </row>
    <row r="60" spans="1:18" ht="25.5">
      <c r="A60" s="374"/>
      <c r="B60" s="290" t="s">
        <v>121</v>
      </c>
      <c r="C60" s="306" t="s">
        <v>591</v>
      </c>
      <c r="D60" s="346">
        <f t="shared" si="18"/>
        <v>269800</v>
      </c>
      <c r="E60" s="292">
        <f t="shared" si="19"/>
        <v>0</v>
      </c>
      <c r="F60" s="292">
        <v>0</v>
      </c>
      <c r="G60" s="292">
        <v>0</v>
      </c>
      <c r="H60" s="292">
        <v>0</v>
      </c>
      <c r="I60" s="292">
        <v>269800</v>
      </c>
      <c r="J60" s="340">
        <v>0</v>
      </c>
      <c r="K60" s="346">
        <f t="shared" si="20"/>
        <v>145191.87</v>
      </c>
      <c r="L60" s="292">
        <f t="shared" si="21"/>
        <v>0</v>
      </c>
      <c r="M60" s="292">
        <v>0</v>
      </c>
      <c r="N60" s="292">
        <v>0</v>
      </c>
      <c r="O60" s="292">
        <v>0</v>
      </c>
      <c r="P60" s="292">
        <v>145191.87</v>
      </c>
      <c r="Q60" s="340">
        <v>0</v>
      </c>
      <c r="R60" s="340">
        <f t="shared" si="22"/>
        <v>53.814629355077834</v>
      </c>
    </row>
    <row r="61" spans="1:18" ht="12.75">
      <c r="A61" s="374"/>
      <c r="B61" s="290" t="s">
        <v>124</v>
      </c>
      <c r="C61" s="306" t="s">
        <v>125</v>
      </c>
      <c r="D61" s="346">
        <f t="shared" si="18"/>
        <v>30000</v>
      </c>
      <c r="E61" s="292">
        <f t="shared" si="19"/>
        <v>0</v>
      </c>
      <c r="F61" s="292">
        <v>0</v>
      </c>
      <c r="G61" s="292">
        <v>0</v>
      </c>
      <c r="H61" s="292">
        <v>0</v>
      </c>
      <c r="I61" s="292">
        <v>30000</v>
      </c>
      <c r="J61" s="340">
        <v>0</v>
      </c>
      <c r="K61" s="346">
        <f t="shared" si="20"/>
        <v>12430.82</v>
      </c>
      <c r="L61" s="292">
        <f t="shared" si="21"/>
        <v>0</v>
      </c>
      <c r="M61" s="292">
        <v>0</v>
      </c>
      <c r="N61" s="292">
        <v>0</v>
      </c>
      <c r="O61" s="292">
        <v>0</v>
      </c>
      <c r="P61" s="292">
        <v>12430.82</v>
      </c>
      <c r="Q61" s="340">
        <v>0</v>
      </c>
      <c r="R61" s="340">
        <f t="shared" si="22"/>
        <v>41.43606666666667</v>
      </c>
    </row>
    <row r="62" spans="1:18" ht="12.75">
      <c r="A62" s="374"/>
      <c r="B62" s="290" t="s">
        <v>342</v>
      </c>
      <c r="C62" s="306" t="s">
        <v>343</v>
      </c>
      <c r="D62" s="346">
        <f t="shared" si="18"/>
        <v>37630</v>
      </c>
      <c r="E62" s="292">
        <f t="shared" si="19"/>
        <v>0</v>
      </c>
      <c r="F62" s="292">
        <v>0</v>
      </c>
      <c r="G62" s="292">
        <v>0</v>
      </c>
      <c r="H62" s="292">
        <v>0</v>
      </c>
      <c r="I62" s="292">
        <v>37630</v>
      </c>
      <c r="J62" s="340">
        <v>0</v>
      </c>
      <c r="K62" s="346">
        <f t="shared" si="20"/>
        <v>22118.7</v>
      </c>
      <c r="L62" s="292">
        <f t="shared" si="21"/>
        <v>0</v>
      </c>
      <c r="M62" s="292">
        <v>0</v>
      </c>
      <c r="N62" s="292">
        <v>0</v>
      </c>
      <c r="O62" s="292">
        <v>0</v>
      </c>
      <c r="P62" s="292">
        <v>22118.7</v>
      </c>
      <c r="Q62" s="340">
        <v>0</v>
      </c>
      <c r="R62" s="340">
        <f t="shared" si="22"/>
        <v>58.77943130480999</v>
      </c>
    </row>
    <row r="63" spans="1:18" ht="12.75">
      <c r="A63" s="374"/>
      <c r="B63" s="290" t="s">
        <v>126</v>
      </c>
      <c r="C63" s="306" t="s">
        <v>409</v>
      </c>
      <c r="D63" s="346">
        <f t="shared" si="18"/>
        <v>482110</v>
      </c>
      <c r="E63" s="292">
        <f t="shared" si="19"/>
        <v>480010</v>
      </c>
      <c r="F63" s="292">
        <v>357866.71</v>
      </c>
      <c r="G63" s="292">
        <v>122143.29</v>
      </c>
      <c r="H63" s="292">
        <v>0</v>
      </c>
      <c r="I63" s="292">
        <v>2100</v>
      </c>
      <c r="J63" s="340">
        <v>0</v>
      </c>
      <c r="K63" s="346">
        <f t="shared" si="20"/>
        <v>217644.28000000003</v>
      </c>
      <c r="L63" s="292">
        <f t="shared" si="21"/>
        <v>217244.28000000003</v>
      </c>
      <c r="M63" s="292">
        <v>157404.42</v>
      </c>
      <c r="N63" s="292">
        <v>59839.86</v>
      </c>
      <c r="O63" s="292">
        <v>0</v>
      </c>
      <c r="P63" s="292">
        <v>400</v>
      </c>
      <c r="Q63" s="340">
        <v>0</v>
      </c>
      <c r="R63" s="340">
        <f t="shared" si="22"/>
        <v>45.144112339507586</v>
      </c>
    </row>
    <row r="64" spans="1:18" ht="25.5">
      <c r="A64" s="374"/>
      <c r="B64" s="290" t="s">
        <v>128</v>
      </c>
      <c r="C64" s="306" t="s">
        <v>405</v>
      </c>
      <c r="D64" s="346">
        <f t="shared" si="18"/>
        <v>30000</v>
      </c>
      <c r="E64" s="292">
        <f t="shared" si="19"/>
        <v>30000</v>
      </c>
      <c r="F64" s="292">
        <v>0</v>
      </c>
      <c r="G64" s="292">
        <v>30000</v>
      </c>
      <c r="H64" s="292">
        <v>0</v>
      </c>
      <c r="I64" s="292">
        <v>0</v>
      </c>
      <c r="J64" s="340">
        <v>0</v>
      </c>
      <c r="K64" s="346">
        <f t="shared" si="20"/>
        <v>7700</v>
      </c>
      <c r="L64" s="292">
        <f t="shared" si="21"/>
        <v>7700</v>
      </c>
      <c r="M64" s="292">
        <v>0</v>
      </c>
      <c r="N64" s="292">
        <v>7700</v>
      </c>
      <c r="O64" s="292">
        <v>0</v>
      </c>
      <c r="P64" s="292">
        <v>0</v>
      </c>
      <c r="Q64" s="340">
        <v>0</v>
      </c>
      <c r="R64" s="340">
        <f t="shared" si="22"/>
        <v>25.666666666666664</v>
      </c>
    </row>
    <row r="65" spans="1:18" ht="25.5">
      <c r="A65" s="374"/>
      <c r="B65" s="290" t="s">
        <v>567</v>
      </c>
      <c r="C65" s="306" t="s">
        <v>47</v>
      </c>
      <c r="D65" s="346">
        <f t="shared" si="18"/>
        <v>238500</v>
      </c>
      <c r="E65" s="292">
        <f t="shared" si="19"/>
        <v>238500</v>
      </c>
      <c r="F65" s="292">
        <v>0</v>
      </c>
      <c r="G65" s="292">
        <v>238500</v>
      </c>
      <c r="H65" s="292">
        <v>0</v>
      </c>
      <c r="I65" s="292">
        <v>0</v>
      </c>
      <c r="J65" s="340">
        <v>0</v>
      </c>
      <c r="K65" s="346">
        <f t="shared" si="20"/>
        <v>155500</v>
      </c>
      <c r="L65" s="292">
        <f t="shared" si="21"/>
        <v>155500</v>
      </c>
      <c r="M65" s="292">
        <v>0</v>
      </c>
      <c r="N65" s="292">
        <v>155500</v>
      </c>
      <c r="O65" s="292">
        <v>0</v>
      </c>
      <c r="P65" s="292">
        <v>0</v>
      </c>
      <c r="Q65" s="340">
        <v>0</v>
      </c>
      <c r="R65" s="340">
        <f t="shared" si="22"/>
        <v>65.19916142557652</v>
      </c>
    </row>
    <row r="66" spans="1:18" ht="12.75">
      <c r="A66" s="374"/>
      <c r="B66" s="290" t="s">
        <v>131</v>
      </c>
      <c r="C66" s="306" t="s">
        <v>15</v>
      </c>
      <c r="D66" s="346">
        <f t="shared" si="18"/>
        <v>429147</v>
      </c>
      <c r="E66" s="292">
        <f t="shared" si="19"/>
        <v>92047</v>
      </c>
      <c r="F66" s="292">
        <v>0</v>
      </c>
      <c r="G66" s="292">
        <v>92047</v>
      </c>
      <c r="H66" s="292">
        <v>0</v>
      </c>
      <c r="I66" s="292">
        <v>337100</v>
      </c>
      <c r="J66" s="340">
        <v>0</v>
      </c>
      <c r="K66" s="346">
        <f t="shared" si="20"/>
        <v>173496.5</v>
      </c>
      <c r="L66" s="292">
        <f t="shared" si="21"/>
        <v>27138.99</v>
      </c>
      <c r="M66" s="292">
        <v>0</v>
      </c>
      <c r="N66" s="292">
        <v>27138.99</v>
      </c>
      <c r="O66" s="292">
        <v>0</v>
      </c>
      <c r="P66" s="292">
        <v>146357.51</v>
      </c>
      <c r="Q66" s="340">
        <v>0</v>
      </c>
      <c r="R66" s="340">
        <f t="shared" si="22"/>
        <v>40.428221565104735</v>
      </c>
    </row>
    <row r="67" spans="1:18" ht="12.75">
      <c r="A67" s="341" t="s">
        <v>132</v>
      </c>
      <c r="B67" s="300"/>
      <c r="C67" s="307" t="s">
        <v>133</v>
      </c>
      <c r="D67" s="347">
        <f>D68</f>
        <v>194060</v>
      </c>
      <c r="E67" s="302">
        <f aca="true" t="shared" si="23" ref="E67:Q67">E68</f>
        <v>0</v>
      </c>
      <c r="F67" s="302">
        <f t="shared" si="23"/>
        <v>0</v>
      </c>
      <c r="G67" s="302">
        <f t="shared" si="23"/>
        <v>0</v>
      </c>
      <c r="H67" s="302">
        <f t="shared" si="23"/>
        <v>0</v>
      </c>
      <c r="I67" s="302">
        <f t="shared" si="23"/>
        <v>194060</v>
      </c>
      <c r="J67" s="342">
        <f t="shared" si="23"/>
        <v>0</v>
      </c>
      <c r="K67" s="347">
        <f>K68</f>
        <v>177541.21</v>
      </c>
      <c r="L67" s="302">
        <f t="shared" si="23"/>
        <v>0</v>
      </c>
      <c r="M67" s="302">
        <f t="shared" si="23"/>
        <v>0</v>
      </c>
      <c r="N67" s="302">
        <f t="shared" si="23"/>
        <v>0</v>
      </c>
      <c r="O67" s="302">
        <f t="shared" si="23"/>
        <v>0</v>
      </c>
      <c r="P67" s="302">
        <f t="shared" si="23"/>
        <v>177541.21</v>
      </c>
      <c r="Q67" s="342">
        <f t="shared" si="23"/>
        <v>0</v>
      </c>
      <c r="R67" s="339" t="e">
        <f>K67/E67*100</f>
        <v>#DIV/0!</v>
      </c>
    </row>
    <row r="68" spans="1:18" ht="12.75">
      <c r="A68" s="351"/>
      <c r="B68" s="290" t="s">
        <v>134</v>
      </c>
      <c r="C68" s="306" t="s">
        <v>135</v>
      </c>
      <c r="D68" s="346">
        <f>E68+H68+I68+J68</f>
        <v>194060</v>
      </c>
      <c r="E68" s="292">
        <f>F68+G68</f>
        <v>0</v>
      </c>
      <c r="F68" s="292">
        <v>0</v>
      </c>
      <c r="G68" s="292">
        <v>0</v>
      </c>
      <c r="H68" s="292">
        <v>0</v>
      </c>
      <c r="I68" s="292">
        <v>194060</v>
      </c>
      <c r="J68" s="340">
        <v>0</v>
      </c>
      <c r="K68" s="346">
        <f>L68+O68+P68+Q68</f>
        <v>177541.21</v>
      </c>
      <c r="L68" s="292">
        <f>M68+N68</f>
        <v>0</v>
      </c>
      <c r="M68" s="292">
        <v>0</v>
      </c>
      <c r="N68" s="292">
        <v>0</v>
      </c>
      <c r="O68" s="292">
        <v>0</v>
      </c>
      <c r="P68" s="292">
        <v>177541.21</v>
      </c>
      <c r="Q68" s="340">
        <v>0</v>
      </c>
      <c r="R68" s="340">
        <f>K68/D68*100</f>
        <v>91.48779243532927</v>
      </c>
    </row>
    <row r="69" spans="1:18" ht="25.5">
      <c r="A69" s="341" t="s">
        <v>139</v>
      </c>
      <c r="B69" s="300"/>
      <c r="C69" s="307" t="s">
        <v>140</v>
      </c>
      <c r="D69" s="347">
        <f>SUM(D70:D77)</f>
        <v>347671</v>
      </c>
      <c r="E69" s="347">
        <f aca="true" t="shared" si="24" ref="E69:Q69">SUM(E70:E77)</f>
        <v>238510</v>
      </c>
      <c r="F69" s="347">
        <f t="shared" si="24"/>
        <v>3400</v>
      </c>
      <c r="G69" s="347">
        <f t="shared" si="24"/>
        <v>235110</v>
      </c>
      <c r="H69" s="347">
        <f t="shared" si="24"/>
        <v>109161</v>
      </c>
      <c r="I69" s="347">
        <f t="shared" si="24"/>
        <v>0</v>
      </c>
      <c r="J69" s="347">
        <f t="shared" si="24"/>
        <v>0</v>
      </c>
      <c r="K69" s="347">
        <f t="shared" si="24"/>
        <v>123285.31999999999</v>
      </c>
      <c r="L69" s="347">
        <f t="shared" si="24"/>
        <v>68704.31999999999</v>
      </c>
      <c r="M69" s="347">
        <f t="shared" si="24"/>
        <v>0</v>
      </c>
      <c r="N69" s="347">
        <f t="shared" si="24"/>
        <v>68704.31999999999</v>
      </c>
      <c r="O69" s="347">
        <f t="shared" si="24"/>
        <v>54581</v>
      </c>
      <c r="P69" s="347">
        <f t="shared" si="24"/>
        <v>0</v>
      </c>
      <c r="Q69" s="347">
        <f t="shared" si="24"/>
        <v>0</v>
      </c>
      <c r="R69" s="339">
        <f>K69/E69*100</f>
        <v>51.68979078445348</v>
      </c>
    </row>
    <row r="70" spans="1:18" ht="12.75">
      <c r="A70" s="373"/>
      <c r="B70" s="290" t="s">
        <v>186</v>
      </c>
      <c r="C70" s="306" t="s">
        <v>187</v>
      </c>
      <c r="D70" s="346">
        <f>E70+H70+I70+J70</f>
        <v>15000</v>
      </c>
      <c r="E70" s="292">
        <f>F70+G70</f>
        <v>15000</v>
      </c>
      <c r="F70" s="292">
        <v>0</v>
      </c>
      <c r="G70" s="292">
        <v>15000</v>
      </c>
      <c r="H70" s="292">
        <v>0</v>
      </c>
      <c r="I70" s="292">
        <v>0</v>
      </c>
      <c r="J70" s="340">
        <v>0</v>
      </c>
      <c r="K70" s="346">
        <f>L70+O70+P70+Q70</f>
        <v>3809.2</v>
      </c>
      <c r="L70" s="292">
        <f>M70+N70</f>
        <v>3809.2</v>
      </c>
      <c r="M70" s="292">
        <v>0</v>
      </c>
      <c r="N70" s="292">
        <v>3809.2</v>
      </c>
      <c r="O70" s="292">
        <v>0</v>
      </c>
      <c r="P70" s="292">
        <v>0</v>
      </c>
      <c r="Q70" s="340">
        <v>0</v>
      </c>
      <c r="R70" s="340">
        <f>K70/D70*100</f>
        <v>25.394666666666666</v>
      </c>
    </row>
    <row r="71" spans="1:18" ht="25.5">
      <c r="A71" s="374"/>
      <c r="B71" s="290" t="s">
        <v>188</v>
      </c>
      <c r="C71" s="306" t="s">
        <v>406</v>
      </c>
      <c r="D71" s="346">
        <f aca="true" t="shared" si="25" ref="D71:D77">E71+H71+I71+J71</f>
        <v>3000</v>
      </c>
      <c r="E71" s="292">
        <f aca="true" t="shared" si="26" ref="E71:E77">F71+G71</f>
        <v>3000</v>
      </c>
      <c r="F71" s="292">
        <v>0</v>
      </c>
      <c r="G71" s="292">
        <v>3000</v>
      </c>
      <c r="H71" s="292">
        <v>0</v>
      </c>
      <c r="I71" s="292">
        <v>0</v>
      </c>
      <c r="J71" s="340">
        <v>0</v>
      </c>
      <c r="K71" s="346">
        <f aca="true" t="shared" si="27" ref="K71:K77">L71+O71+P71+Q71</f>
        <v>919.14</v>
      </c>
      <c r="L71" s="292">
        <f aca="true" t="shared" si="28" ref="L71:L77">M71+N71</f>
        <v>919.14</v>
      </c>
      <c r="M71" s="292">
        <v>0</v>
      </c>
      <c r="N71" s="292">
        <v>919.14</v>
      </c>
      <c r="O71" s="292">
        <v>0</v>
      </c>
      <c r="P71" s="292">
        <v>0</v>
      </c>
      <c r="Q71" s="340">
        <v>0</v>
      </c>
      <c r="R71" s="340">
        <f aca="true" t="shared" si="29" ref="R71:R77">K71/D71*100</f>
        <v>30.637999999999998</v>
      </c>
    </row>
    <row r="72" spans="1:18" ht="12.75">
      <c r="A72" s="374"/>
      <c r="B72" s="290" t="s">
        <v>229</v>
      </c>
      <c r="C72" s="306" t="s">
        <v>230</v>
      </c>
      <c r="D72" s="346">
        <f t="shared" si="25"/>
        <v>1000</v>
      </c>
      <c r="E72" s="292">
        <f t="shared" si="26"/>
        <v>1000</v>
      </c>
      <c r="F72" s="292">
        <v>0</v>
      </c>
      <c r="G72" s="292">
        <v>1000</v>
      </c>
      <c r="H72" s="292">
        <v>0</v>
      </c>
      <c r="I72" s="292">
        <v>0</v>
      </c>
      <c r="J72" s="340">
        <v>0</v>
      </c>
      <c r="K72" s="346">
        <f t="shared" si="27"/>
        <v>0</v>
      </c>
      <c r="L72" s="292">
        <f t="shared" si="28"/>
        <v>0</v>
      </c>
      <c r="M72" s="292">
        <v>0</v>
      </c>
      <c r="N72" s="292">
        <v>0</v>
      </c>
      <c r="O72" s="292">
        <v>0</v>
      </c>
      <c r="P72" s="292">
        <v>0</v>
      </c>
      <c r="Q72" s="340">
        <v>0</v>
      </c>
      <c r="R72" s="340">
        <f t="shared" si="29"/>
        <v>0</v>
      </c>
    </row>
    <row r="73" spans="1:18" ht="12.75">
      <c r="A73" s="374"/>
      <c r="B73" s="290" t="s">
        <v>141</v>
      </c>
      <c r="C73" s="306" t="s">
        <v>142</v>
      </c>
      <c r="D73" s="346">
        <f t="shared" si="25"/>
        <v>188400</v>
      </c>
      <c r="E73" s="292">
        <f t="shared" si="26"/>
        <v>188400</v>
      </c>
      <c r="F73" s="292">
        <v>0</v>
      </c>
      <c r="G73" s="292">
        <v>188400</v>
      </c>
      <c r="H73" s="292">
        <v>0</v>
      </c>
      <c r="I73" s="292">
        <v>0</v>
      </c>
      <c r="J73" s="340">
        <v>0</v>
      </c>
      <c r="K73" s="346">
        <f t="shared" si="27"/>
        <v>63090.08</v>
      </c>
      <c r="L73" s="292">
        <f t="shared" si="28"/>
        <v>63090.08</v>
      </c>
      <c r="M73" s="292">
        <v>0</v>
      </c>
      <c r="N73" s="292">
        <v>63090.08</v>
      </c>
      <c r="O73" s="292">
        <v>0</v>
      </c>
      <c r="P73" s="292">
        <v>0</v>
      </c>
      <c r="Q73" s="340">
        <v>0</v>
      </c>
      <c r="R73" s="340">
        <f t="shared" si="29"/>
        <v>33.48730360934183</v>
      </c>
    </row>
    <row r="74" spans="1:18" ht="12.75">
      <c r="A74" s="374"/>
      <c r="B74" s="290" t="s">
        <v>143</v>
      </c>
      <c r="C74" s="306" t="s">
        <v>144</v>
      </c>
      <c r="D74" s="346">
        <f t="shared" si="25"/>
        <v>109161</v>
      </c>
      <c r="E74" s="292">
        <f t="shared" si="26"/>
        <v>0</v>
      </c>
      <c r="F74" s="292">
        <v>0</v>
      </c>
      <c r="G74" s="292">
        <v>0</v>
      </c>
      <c r="H74" s="292">
        <v>109161</v>
      </c>
      <c r="I74" s="292">
        <v>0</v>
      </c>
      <c r="J74" s="340">
        <v>0</v>
      </c>
      <c r="K74" s="346">
        <f t="shared" si="27"/>
        <v>54581</v>
      </c>
      <c r="L74" s="292">
        <f t="shared" si="28"/>
        <v>0</v>
      </c>
      <c r="M74" s="292">
        <v>0</v>
      </c>
      <c r="N74" s="292">
        <v>0</v>
      </c>
      <c r="O74" s="292">
        <v>54581</v>
      </c>
      <c r="P74" s="292">
        <v>0</v>
      </c>
      <c r="Q74" s="340">
        <v>0</v>
      </c>
      <c r="R74" s="340">
        <f t="shared" si="29"/>
        <v>50.00045803904325</v>
      </c>
    </row>
    <row r="75" spans="1:18" ht="38.25">
      <c r="A75" s="374"/>
      <c r="B75" s="290" t="s">
        <v>568</v>
      </c>
      <c r="C75" s="306" t="s">
        <v>576</v>
      </c>
      <c r="D75" s="346">
        <f t="shared" si="25"/>
        <v>19010</v>
      </c>
      <c r="E75" s="292">
        <f t="shared" si="26"/>
        <v>19010</v>
      </c>
      <c r="F75" s="292">
        <v>2400</v>
      </c>
      <c r="G75" s="292">
        <v>16610</v>
      </c>
      <c r="H75" s="292">
        <v>0</v>
      </c>
      <c r="I75" s="292">
        <v>0</v>
      </c>
      <c r="J75" s="340">
        <v>0</v>
      </c>
      <c r="K75" s="346">
        <f t="shared" si="27"/>
        <v>0</v>
      </c>
      <c r="L75" s="292">
        <f t="shared" si="28"/>
        <v>0</v>
      </c>
      <c r="M75" s="292">
        <v>0</v>
      </c>
      <c r="N75" s="292">
        <v>0</v>
      </c>
      <c r="O75" s="292">
        <v>0</v>
      </c>
      <c r="P75" s="292">
        <v>0</v>
      </c>
      <c r="Q75" s="340">
        <v>0</v>
      </c>
      <c r="R75" s="340">
        <f t="shared" si="29"/>
        <v>0</v>
      </c>
    </row>
    <row r="76" spans="1:18" ht="38.25">
      <c r="A76" s="374"/>
      <c r="B76" s="290" t="s">
        <v>190</v>
      </c>
      <c r="C76" s="306" t="s">
        <v>407</v>
      </c>
      <c r="D76" s="346">
        <f t="shared" si="25"/>
        <v>1500</v>
      </c>
      <c r="E76" s="292">
        <f t="shared" si="26"/>
        <v>1500</v>
      </c>
      <c r="F76" s="292">
        <v>0</v>
      </c>
      <c r="G76" s="292">
        <v>1500</v>
      </c>
      <c r="H76" s="292">
        <v>0</v>
      </c>
      <c r="I76" s="292">
        <v>0</v>
      </c>
      <c r="J76" s="340">
        <v>0</v>
      </c>
      <c r="K76" s="346">
        <f t="shared" si="27"/>
        <v>0</v>
      </c>
      <c r="L76" s="292">
        <f t="shared" si="28"/>
        <v>0</v>
      </c>
      <c r="M76" s="292">
        <v>0</v>
      </c>
      <c r="N76" s="292">
        <v>0</v>
      </c>
      <c r="O76" s="292">
        <v>0</v>
      </c>
      <c r="P76" s="292">
        <v>0</v>
      </c>
      <c r="Q76" s="340">
        <v>0</v>
      </c>
      <c r="R76" s="340">
        <f t="shared" si="29"/>
        <v>0</v>
      </c>
    </row>
    <row r="77" spans="1:18" ht="12.75">
      <c r="A77" s="374"/>
      <c r="B77" s="290" t="s">
        <v>148</v>
      </c>
      <c r="C77" s="306" t="s">
        <v>15</v>
      </c>
      <c r="D77" s="346">
        <f t="shared" si="25"/>
        <v>10600</v>
      </c>
      <c r="E77" s="292">
        <f t="shared" si="26"/>
        <v>10600</v>
      </c>
      <c r="F77" s="292">
        <v>1000</v>
      </c>
      <c r="G77" s="292">
        <v>9600</v>
      </c>
      <c r="H77" s="292">
        <v>0</v>
      </c>
      <c r="I77" s="292">
        <v>0</v>
      </c>
      <c r="J77" s="340">
        <v>0</v>
      </c>
      <c r="K77" s="346">
        <f t="shared" si="27"/>
        <v>885.9</v>
      </c>
      <c r="L77" s="292">
        <f t="shared" si="28"/>
        <v>885.9</v>
      </c>
      <c r="M77" s="292">
        <v>0</v>
      </c>
      <c r="N77" s="292">
        <v>885.9</v>
      </c>
      <c r="O77" s="292">
        <v>0</v>
      </c>
      <c r="P77" s="292">
        <v>0</v>
      </c>
      <c r="Q77" s="340">
        <v>0</v>
      </c>
      <c r="R77" s="340">
        <f t="shared" si="29"/>
        <v>8.35754716981132</v>
      </c>
    </row>
    <row r="78" spans="1:18" ht="25.5">
      <c r="A78" s="341" t="s">
        <v>149</v>
      </c>
      <c r="B78" s="300"/>
      <c r="C78" s="307" t="s">
        <v>150</v>
      </c>
      <c r="D78" s="347">
        <f>SUM(D79:D81)</f>
        <v>661108</v>
      </c>
      <c r="E78" s="347">
        <f aca="true" t="shared" si="30" ref="E78:Q78">SUM(E79:E81)</f>
        <v>172108</v>
      </c>
      <c r="F78" s="347">
        <f t="shared" si="30"/>
        <v>75000</v>
      </c>
      <c r="G78" s="347">
        <f t="shared" si="30"/>
        <v>97108</v>
      </c>
      <c r="H78" s="347">
        <f t="shared" si="30"/>
        <v>489000</v>
      </c>
      <c r="I78" s="347">
        <f t="shared" si="30"/>
        <v>0</v>
      </c>
      <c r="J78" s="347">
        <f t="shared" si="30"/>
        <v>0</v>
      </c>
      <c r="K78" s="347">
        <f t="shared" si="30"/>
        <v>244500</v>
      </c>
      <c r="L78" s="347">
        <f t="shared" si="30"/>
        <v>0</v>
      </c>
      <c r="M78" s="347">
        <f t="shared" si="30"/>
        <v>0</v>
      </c>
      <c r="N78" s="347">
        <f t="shared" si="30"/>
        <v>0</v>
      </c>
      <c r="O78" s="347">
        <f t="shared" si="30"/>
        <v>244500</v>
      </c>
      <c r="P78" s="347">
        <f t="shared" si="30"/>
        <v>0</v>
      </c>
      <c r="Q78" s="347">
        <f t="shared" si="30"/>
        <v>0</v>
      </c>
      <c r="R78" s="339">
        <f>K78/E78*100</f>
        <v>142.06196109419668</v>
      </c>
    </row>
    <row r="79" spans="1:18" ht="25.5">
      <c r="A79" s="373"/>
      <c r="B79" s="290" t="s">
        <v>151</v>
      </c>
      <c r="C79" s="306" t="s">
        <v>408</v>
      </c>
      <c r="D79" s="346">
        <f>E79+H79+I79+J79</f>
        <v>387108</v>
      </c>
      <c r="E79" s="292">
        <f>F79+G79</f>
        <v>97108</v>
      </c>
      <c r="F79" s="292">
        <v>0</v>
      </c>
      <c r="G79" s="292">
        <v>97108</v>
      </c>
      <c r="H79" s="292">
        <v>290000</v>
      </c>
      <c r="I79" s="292">
        <v>0</v>
      </c>
      <c r="J79" s="340">
        <v>0</v>
      </c>
      <c r="K79" s="346">
        <f>L79+O79+P79+Q79</f>
        <v>144990</v>
      </c>
      <c r="L79" s="292">
        <f>M79+N79</f>
        <v>0</v>
      </c>
      <c r="M79" s="292">
        <v>0</v>
      </c>
      <c r="N79" s="292">
        <v>0</v>
      </c>
      <c r="O79" s="292">
        <v>144990</v>
      </c>
      <c r="P79" s="292">
        <v>0</v>
      </c>
      <c r="Q79" s="340">
        <v>0</v>
      </c>
      <c r="R79" s="340">
        <f>K79/D79*100</f>
        <v>37.454663814749374</v>
      </c>
    </row>
    <row r="80" spans="1:18" ht="12.75">
      <c r="A80" s="398"/>
      <c r="B80" s="290" t="s">
        <v>156</v>
      </c>
      <c r="C80" s="306" t="s">
        <v>157</v>
      </c>
      <c r="D80" s="346">
        <f>E80+H80+I80+J80</f>
        <v>199000</v>
      </c>
      <c r="E80" s="292">
        <f>F80+G80</f>
        <v>0</v>
      </c>
      <c r="F80" s="292">
        <v>0</v>
      </c>
      <c r="G80" s="292">
        <v>0</v>
      </c>
      <c r="H80" s="292">
        <v>199000</v>
      </c>
      <c r="I80" s="292">
        <v>0</v>
      </c>
      <c r="J80" s="340">
        <v>0</v>
      </c>
      <c r="K80" s="346">
        <f>L80+O80+P80+Q80</f>
        <v>99510</v>
      </c>
      <c r="L80" s="292">
        <f>M80+N80</f>
        <v>0</v>
      </c>
      <c r="M80" s="292">
        <v>0</v>
      </c>
      <c r="N80" s="292">
        <v>0</v>
      </c>
      <c r="O80" s="292">
        <v>99510</v>
      </c>
      <c r="P80" s="292">
        <v>0</v>
      </c>
      <c r="Q80" s="340">
        <v>0</v>
      </c>
      <c r="R80" s="340">
        <f>K80/D80*100</f>
        <v>50.005025125628144</v>
      </c>
    </row>
    <row r="81" spans="1:18" ht="25.5">
      <c r="A81" s="398"/>
      <c r="B81" s="290" t="s">
        <v>193</v>
      </c>
      <c r="C81" s="306" t="s">
        <v>194</v>
      </c>
      <c r="D81" s="346">
        <f>E81+H81+I81+J81</f>
        <v>75000</v>
      </c>
      <c r="E81" s="292">
        <f>F81+G81</f>
        <v>75000</v>
      </c>
      <c r="F81" s="292">
        <v>75000</v>
      </c>
      <c r="G81" s="292">
        <v>0</v>
      </c>
      <c r="H81" s="292">
        <v>0</v>
      </c>
      <c r="I81" s="292">
        <v>0</v>
      </c>
      <c r="J81" s="340">
        <v>0</v>
      </c>
      <c r="K81" s="346">
        <f>L81+O81+P81+Q81</f>
        <v>0</v>
      </c>
      <c r="L81" s="292">
        <f>M81+N81</f>
        <v>0</v>
      </c>
      <c r="M81" s="292">
        <v>0</v>
      </c>
      <c r="N81" s="292">
        <v>0</v>
      </c>
      <c r="O81" s="292">
        <v>0</v>
      </c>
      <c r="P81" s="292">
        <v>0</v>
      </c>
      <c r="Q81" s="340">
        <v>0</v>
      </c>
      <c r="R81" s="340">
        <f>K81/D81*100</f>
        <v>0</v>
      </c>
    </row>
    <row r="82" spans="1:18" ht="12.75">
      <c r="A82" s="341" t="s">
        <v>159</v>
      </c>
      <c r="B82" s="300"/>
      <c r="C82" s="307" t="s">
        <v>160</v>
      </c>
      <c r="D82" s="347">
        <f>D83</f>
        <v>60000</v>
      </c>
      <c r="E82" s="302">
        <f aca="true" t="shared" si="31" ref="E82:Q82">E83</f>
        <v>0</v>
      </c>
      <c r="F82" s="302">
        <f t="shared" si="31"/>
        <v>0</v>
      </c>
      <c r="G82" s="302">
        <f t="shared" si="31"/>
        <v>0</v>
      </c>
      <c r="H82" s="302">
        <f t="shared" si="31"/>
        <v>60000</v>
      </c>
      <c r="I82" s="302">
        <f t="shared" si="31"/>
        <v>0</v>
      </c>
      <c r="J82" s="342">
        <f t="shared" si="31"/>
        <v>0</v>
      </c>
      <c r="K82" s="347">
        <f>K83</f>
        <v>30000</v>
      </c>
      <c r="L82" s="302">
        <f t="shared" si="31"/>
        <v>0</v>
      </c>
      <c r="M82" s="302">
        <f t="shared" si="31"/>
        <v>0</v>
      </c>
      <c r="N82" s="302">
        <f t="shared" si="31"/>
        <v>0</v>
      </c>
      <c r="O82" s="302">
        <f t="shared" si="31"/>
        <v>30000</v>
      </c>
      <c r="P82" s="302">
        <f t="shared" si="31"/>
        <v>0</v>
      </c>
      <c r="Q82" s="342">
        <f t="shared" si="31"/>
        <v>0</v>
      </c>
      <c r="R82" s="339" t="e">
        <f>K82/E82*100</f>
        <v>#DIV/0!</v>
      </c>
    </row>
    <row r="83" spans="1:18" ht="13.5" thickBot="1">
      <c r="A83" s="351"/>
      <c r="B83" s="290" t="s">
        <v>161</v>
      </c>
      <c r="C83" s="306" t="s">
        <v>15</v>
      </c>
      <c r="D83" s="346">
        <f>E83+H83+I83+J83</f>
        <v>60000</v>
      </c>
      <c r="E83" s="292">
        <f>F83+G83</f>
        <v>0</v>
      </c>
      <c r="F83" s="292">
        <v>0</v>
      </c>
      <c r="G83" s="292">
        <v>0</v>
      </c>
      <c r="H83" s="292">
        <v>60000</v>
      </c>
      <c r="I83" s="292">
        <v>0</v>
      </c>
      <c r="J83" s="340">
        <v>0</v>
      </c>
      <c r="K83" s="346">
        <f>L83+O83+P83+Q83</f>
        <v>30000</v>
      </c>
      <c r="L83" s="292">
        <f>M83+N83</f>
        <v>0</v>
      </c>
      <c r="M83" s="292">
        <v>0</v>
      </c>
      <c r="N83" s="292">
        <v>0</v>
      </c>
      <c r="O83" s="292">
        <v>30000</v>
      </c>
      <c r="P83" s="292">
        <v>0</v>
      </c>
      <c r="Q83" s="340">
        <v>0</v>
      </c>
      <c r="R83" s="340">
        <f>K83/D83*100</f>
        <v>50</v>
      </c>
    </row>
    <row r="84" spans="1:18" ht="13.5" thickBot="1">
      <c r="A84" s="375" t="s">
        <v>410</v>
      </c>
      <c r="B84" s="376"/>
      <c r="C84" s="377"/>
      <c r="D84" s="348">
        <f>D11+D17+D19+D23+D25+D31+D34+D38+D40+D42+D44+D52+D56+D67+D69+D78+D82</f>
        <v>14827276</v>
      </c>
      <c r="E84" s="348">
        <f aca="true" t="shared" si="32" ref="E84:Q84">E11+E17+E19+E23+E25+E31+E34+E38+E40+E42+E44+E52+E56+E67+E69+E78+E82</f>
        <v>10053456</v>
      </c>
      <c r="F84" s="348">
        <f t="shared" si="32"/>
        <v>6496036.71</v>
      </c>
      <c r="G84" s="348">
        <f t="shared" si="32"/>
        <v>3557419.29</v>
      </c>
      <c r="H84" s="348">
        <f t="shared" si="32"/>
        <v>1280661</v>
      </c>
      <c r="I84" s="348">
        <f t="shared" si="32"/>
        <v>3443159</v>
      </c>
      <c r="J84" s="348">
        <f t="shared" si="32"/>
        <v>50000</v>
      </c>
      <c r="K84" s="348">
        <f t="shared" si="32"/>
        <v>6857077.2</v>
      </c>
      <c r="L84" s="348">
        <f t="shared" si="32"/>
        <v>4738816.3100000005</v>
      </c>
      <c r="M84" s="348">
        <f t="shared" si="32"/>
        <v>3244538.82</v>
      </c>
      <c r="N84" s="348">
        <f t="shared" si="32"/>
        <v>1494277.4900000002</v>
      </c>
      <c r="O84" s="348">
        <f t="shared" si="32"/>
        <v>331856.68</v>
      </c>
      <c r="P84" s="348">
        <f t="shared" si="32"/>
        <v>1770831.6600000001</v>
      </c>
      <c r="Q84" s="348">
        <f t="shared" si="32"/>
        <v>15572.55</v>
      </c>
      <c r="R84" s="354">
        <f>K84/D84*100</f>
        <v>46.24637188921283</v>
      </c>
    </row>
  </sheetData>
  <sheetProtection/>
  <mergeCells count="35">
    <mergeCell ref="C3:R3"/>
    <mergeCell ref="K5:Q5"/>
    <mergeCell ref="K6:K9"/>
    <mergeCell ref="L6:Q6"/>
    <mergeCell ref="L7:N7"/>
    <mergeCell ref="O7:O9"/>
    <mergeCell ref="P7:P9"/>
    <mergeCell ref="Q7:Q9"/>
    <mergeCell ref="L8:L9"/>
    <mergeCell ref="M8:N8"/>
    <mergeCell ref="A35:A37"/>
    <mergeCell ref="A45:A51"/>
    <mergeCell ref="A57:A66"/>
    <mergeCell ref="A70:A77"/>
    <mergeCell ref="A53:A55"/>
    <mergeCell ref="A79:A81"/>
    <mergeCell ref="C5:C9"/>
    <mergeCell ref="E6:J6"/>
    <mergeCell ref="A26:A30"/>
    <mergeCell ref="E7:G7"/>
    <mergeCell ref="A32:A33"/>
    <mergeCell ref="I7:I9"/>
    <mergeCell ref="J7:J9"/>
    <mergeCell ref="F8:G8"/>
    <mergeCell ref="H7:H9"/>
    <mergeCell ref="P1:R1"/>
    <mergeCell ref="R5:R9"/>
    <mergeCell ref="E8:E9"/>
    <mergeCell ref="A20:A22"/>
    <mergeCell ref="A12:A16"/>
    <mergeCell ref="A84:C84"/>
    <mergeCell ref="D5:J5"/>
    <mergeCell ref="D6:D9"/>
    <mergeCell ref="A5:A9"/>
    <mergeCell ref="B5:B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7" r:id="rId1"/>
  <headerFooter differentFirst="1">
    <oddFooter>&amp;LZałączniki Nr 3 do Informacji z wykonania budżetu Gminy Kuryłówka za I półrocze 2010 r.&amp;RStroan &amp;P z 2</oddFooter>
  </headerFooter>
  <rowBreaks count="1" manualBreakCount="1">
    <brk id="4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00390625" style="198" customWidth="1"/>
    <col min="2" max="2" width="28.75390625" style="198" customWidth="1"/>
    <col min="3" max="3" width="9.125" style="198" customWidth="1"/>
    <col min="4" max="4" width="10.375" style="198" customWidth="1"/>
    <col min="5" max="5" width="15.75390625" style="198" customWidth="1"/>
    <col min="6" max="7" width="14.75390625" style="198" customWidth="1"/>
    <col min="8" max="16384" width="9.125" style="198" customWidth="1"/>
  </cols>
  <sheetData>
    <row r="1" spans="1:7" ht="17.25" customHeight="1">
      <c r="A1" s="358" t="s">
        <v>451</v>
      </c>
      <c r="B1" s="358" t="s">
        <v>452</v>
      </c>
      <c r="C1" s="404" t="s">
        <v>453</v>
      </c>
      <c r="D1" s="405"/>
      <c r="E1" s="358" t="s">
        <v>578</v>
      </c>
      <c r="F1" s="358" t="s">
        <v>577</v>
      </c>
      <c r="G1" s="358" t="s">
        <v>5</v>
      </c>
    </row>
    <row r="2" spans="1:7" ht="16.5" customHeight="1">
      <c r="A2" s="406"/>
      <c r="B2" s="406"/>
      <c r="C2" s="211" t="s">
        <v>0</v>
      </c>
      <c r="D2" s="211" t="s">
        <v>454</v>
      </c>
      <c r="E2" s="406"/>
      <c r="F2" s="406"/>
      <c r="G2" s="406"/>
    </row>
    <row r="3" spans="1:7" ht="12.75">
      <c r="A3" s="210">
        <v>1</v>
      </c>
      <c r="B3" s="210">
        <v>2</v>
      </c>
      <c r="C3" s="210">
        <v>3</v>
      </c>
      <c r="D3" s="210">
        <v>4</v>
      </c>
      <c r="E3" s="210">
        <v>8</v>
      </c>
      <c r="F3" s="210">
        <v>8</v>
      </c>
      <c r="G3" s="210">
        <v>8</v>
      </c>
    </row>
    <row r="4" spans="1:7" ht="40.5" customHeight="1">
      <c r="A4" s="213" t="s">
        <v>455</v>
      </c>
      <c r="B4" s="212" t="s">
        <v>510</v>
      </c>
      <c r="C4" s="220" t="s">
        <v>7</v>
      </c>
      <c r="D4" s="220" t="s">
        <v>208</v>
      </c>
      <c r="E4" s="271">
        <v>2560000</v>
      </c>
      <c r="F4" s="271">
        <v>552050</v>
      </c>
      <c r="G4" s="271">
        <f>F4*100/E4</f>
        <v>21.564453125</v>
      </c>
    </row>
    <row r="5" spans="1:7" ht="38.25">
      <c r="A5" s="213" t="s">
        <v>456</v>
      </c>
      <c r="B5" s="212" t="s">
        <v>523</v>
      </c>
      <c r="C5" s="220" t="s">
        <v>7</v>
      </c>
      <c r="D5" s="220" t="s">
        <v>208</v>
      </c>
      <c r="E5" s="271">
        <v>50000</v>
      </c>
      <c r="F5" s="271">
        <v>0</v>
      </c>
      <c r="G5" s="271">
        <f aca="true" t="shared" si="0" ref="G5:G22">F5*100/E5</f>
        <v>0</v>
      </c>
    </row>
    <row r="6" spans="1:7" ht="25.5">
      <c r="A6" s="213" t="s">
        <v>457</v>
      </c>
      <c r="B6" s="212" t="s">
        <v>531</v>
      </c>
      <c r="C6" s="220" t="s">
        <v>7</v>
      </c>
      <c r="D6" s="220" t="s">
        <v>208</v>
      </c>
      <c r="E6" s="271">
        <v>200000</v>
      </c>
      <c r="F6" s="271">
        <v>0</v>
      </c>
      <c r="G6" s="271">
        <f t="shared" si="0"/>
        <v>0</v>
      </c>
    </row>
    <row r="7" spans="1:7" ht="51">
      <c r="A7" s="213" t="s">
        <v>458</v>
      </c>
      <c r="B7" s="212" t="s">
        <v>528</v>
      </c>
      <c r="C7" s="220" t="s">
        <v>40</v>
      </c>
      <c r="D7" s="220" t="s">
        <v>204</v>
      </c>
      <c r="E7" s="271">
        <v>97707</v>
      </c>
      <c r="F7" s="271">
        <v>97707</v>
      </c>
      <c r="G7" s="271">
        <f t="shared" si="0"/>
        <v>100</v>
      </c>
    </row>
    <row r="8" spans="1:7" ht="12.75">
      <c r="A8" s="213" t="s">
        <v>459</v>
      </c>
      <c r="B8" s="212" t="s">
        <v>473</v>
      </c>
      <c r="C8" s="220" t="s">
        <v>40</v>
      </c>
      <c r="D8" s="220" t="s">
        <v>42</v>
      </c>
      <c r="E8" s="271">
        <v>7000</v>
      </c>
      <c r="F8" s="271">
        <v>7000</v>
      </c>
      <c r="G8" s="271">
        <f t="shared" si="0"/>
        <v>100</v>
      </c>
    </row>
    <row r="9" spans="1:7" ht="25.5">
      <c r="A9" s="213" t="s">
        <v>460</v>
      </c>
      <c r="B9" s="212" t="s">
        <v>553</v>
      </c>
      <c r="C9" s="220" t="s">
        <v>344</v>
      </c>
      <c r="D9" s="220" t="s">
        <v>346</v>
      </c>
      <c r="E9" s="271">
        <v>32120</v>
      </c>
      <c r="F9" s="271">
        <v>32120</v>
      </c>
      <c r="G9" s="271">
        <f t="shared" si="0"/>
        <v>100</v>
      </c>
    </row>
    <row r="10" spans="1:7" ht="12.75">
      <c r="A10" s="213" t="s">
        <v>461</v>
      </c>
      <c r="B10" s="212" t="s">
        <v>474</v>
      </c>
      <c r="C10" s="220" t="s">
        <v>55</v>
      </c>
      <c r="D10" s="220" t="s">
        <v>64</v>
      </c>
      <c r="E10" s="271">
        <v>7880</v>
      </c>
      <c r="F10" s="271">
        <v>7880</v>
      </c>
      <c r="G10" s="271">
        <f t="shared" si="0"/>
        <v>100</v>
      </c>
    </row>
    <row r="11" spans="1:7" ht="89.25">
      <c r="A11" s="213" t="s">
        <v>462</v>
      </c>
      <c r="B11" s="212" t="s">
        <v>517</v>
      </c>
      <c r="C11" s="220" t="s">
        <v>83</v>
      </c>
      <c r="D11" s="220" t="s">
        <v>86</v>
      </c>
      <c r="E11" s="271">
        <v>159535</v>
      </c>
      <c r="F11" s="271">
        <v>159535</v>
      </c>
      <c r="G11" s="271">
        <f t="shared" si="0"/>
        <v>100</v>
      </c>
    </row>
    <row r="12" spans="1:7" ht="12.75">
      <c r="A12" s="213" t="s">
        <v>463</v>
      </c>
      <c r="B12" s="212" t="s">
        <v>475</v>
      </c>
      <c r="C12" s="220" t="s">
        <v>83</v>
      </c>
      <c r="D12" s="220" t="s">
        <v>86</v>
      </c>
      <c r="E12" s="271">
        <v>8000</v>
      </c>
      <c r="F12" s="271">
        <v>8000</v>
      </c>
      <c r="G12" s="271">
        <f t="shared" si="0"/>
        <v>100</v>
      </c>
    </row>
    <row r="13" spans="1:7" ht="51">
      <c r="A13" s="213" t="s">
        <v>464</v>
      </c>
      <c r="B13" s="212" t="s">
        <v>526</v>
      </c>
      <c r="C13" s="220" t="s">
        <v>96</v>
      </c>
      <c r="D13" s="220" t="s">
        <v>164</v>
      </c>
      <c r="E13" s="271">
        <v>785000</v>
      </c>
      <c r="F13" s="271">
        <v>785000</v>
      </c>
      <c r="G13" s="271">
        <f t="shared" si="0"/>
        <v>100</v>
      </c>
    </row>
    <row r="14" spans="1:7" ht="25.5">
      <c r="A14" s="213" t="s">
        <v>465</v>
      </c>
      <c r="B14" s="212" t="s">
        <v>476</v>
      </c>
      <c r="C14" s="220" t="s">
        <v>96</v>
      </c>
      <c r="D14" s="220" t="s">
        <v>164</v>
      </c>
      <c r="E14" s="271">
        <v>100</v>
      </c>
      <c r="F14" s="271">
        <v>100</v>
      </c>
      <c r="G14" s="271">
        <f t="shared" si="0"/>
        <v>100</v>
      </c>
    </row>
    <row r="15" spans="1:7" ht="51">
      <c r="A15" s="213" t="s">
        <v>466</v>
      </c>
      <c r="B15" s="212" t="s">
        <v>478</v>
      </c>
      <c r="C15" s="220" t="s">
        <v>96</v>
      </c>
      <c r="D15" s="220" t="s">
        <v>246</v>
      </c>
      <c r="E15" s="271">
        <v>200000</v>
      </c>
      <c r="F15" s="271">
        <v>200000</v>
      </c>
      <c r="G15" s="271">
        <f t="shared" si="0"/>
        <v>100</v>
      </c>
    </row>
    <row r="16" spans="1:7" ht="38.25">
      <c r="A16" s="213" t="s">
        <v>467</v>
      </c>
      <c r="B16" s="212" t="s">
        <v>477</v>
      </c>
      <c r="C16" s="220" t="s">
        <v>96</v>
      </c>
      <c r="D16" s="220" t="s">
        <v>246</v>
      </c>
      <c r="E16" s="271">
        <v>100000</v>
      </c>
      <c r="F16" s="271">
        <v>100000</v>
      </c>
      <c r="G16" s="271">
        <f t="shared" si="0"/>
        <v>100</v>
      </c>
    </row>
    <row r="17" spans="1:7" ht="12.75">
      <c r="A17" s="213" t="s">
        <v>468</v>
      </c>
      <c r="B17" s="212" t="s">
        <v>479</v>
      </c>
      <c r="C17" s="220" t="s">
        <v>108</v>
      </c>
      <c r="D17" s="220" t="s">
        <v>126</v>
      </c>
      <c r="E17" s="271">
        <v>5000</v>
      </c>
      <c r="F17" s="271">
        <v>5000</v>
      </c>
      <c r="G17" s="271">
        <f t="shared" si="0"/>
        <v>100</v>
      </c>
    </row>
    <row r="18" spans="1:7" ht="25.5">
      <c r="A18" s="213" t="s">
        <v>469</v>
      </c>
      <c r="B18" s="212" t="s">
        <v>480</v>
      </c>
      <c r="C18" s="220" t="s">
        <v>139</v>
      </c>
      <c r="D18" s="220" t="s">
        <v>141</v>
      </c>
      <c r="E18" s="271">
        <v>66000</v>
      </c>
      <c r="F18" s="271">
        <v>66000</v>
      </c>
      <c r="G18" s="271">
        <f t="shared" si="0"/>
        <v>100</v>
      </c>
    </row>
    <row r="19" spans="1:7" ht="38.25">
      <c r="A19" s="213" t="s">
        <v>470</v>
      </c>
      <c r="B19" s="212" t="s">
        <v>481</v>
      </c>
      <c r="C19" s="220" t="s">
        <v>139</v>
      </c>
      <c r="D19" s="220" t="s">
        <v>148</v>
      </c>
      <c r="E19" s="271">
        <v>100000</v>
      </c>
      <c r="F19" s="271">
        <v>100000</v>
      </c>
      <c r="G19" s="271">
        <f t="shared" si="0"/>
        <v>100</v>
      </c>
    </row>
    <row r="20" spans="1:7" ht="25.5">
      <c r="A20" s="213" t="s">
        <v>471</v>
      </c>
      <c r="B20" s="212" t="s">
        <v>482</v>
      </c>
      <c r="C20" s="220" t="s">
        <v>149</v>
      </c>
      <c r="D20" s="220" t="s">
        <v>151</v>
      </c>
      <c r="E20" s="271">
        <v>700000</v>
      </c>
      <c r="F20" s="271">
        <v>700000</v>
      </c>
      <c r="G20" s="271">
        <f t="shared" si="0"/>
        <v>100</v>
      </c>
    </row>
    <row r="21" spans="1:7" ht="63.75">
      <c r="A21" s="213" t="s">
        <v>530</v>
      </c>
      <c r="B21" s="212" t="s">
        <v>483</v>
      </c>
      <c r="C21" s="220" t="s">
        <v>149</v>
      </c>
      <c r="D21" s="220" t="s">
        <v>151</v>
      </c>
      <c r="E21" s="271">
        <v>147083</v>
      </c>
      <c r="F21" s="271">
        <v>147083</v>
      </c>
      <c r="G21" s="271">
        <f t="shared" si="0"/>
        <v>100</v>
      </c>
    </row>
    <row r="22" spans="1:7" ht="15" customHeight="1">
      <c r="A22" s="213" t="s">
        <v>552</v>
      </c>
      <c r="B22" s="221" t="s">
        <v>484</v>
      </c>
      <c r="C22" s="220" t="s">
        <v>159</v>
      </c>
      <c r="D22" s="220" t="s">
        <v>258</v>
      </c>
      <c r="E22" s="271">
        <v>50000</v>
      </c>
      <c r="F22" s="271">
        <v>50000</v>
      </c>
      <c r="G22" s="271">
        <f t="shared" si="0"/>
        <v>100</v>
      </c>
    </row>
    <row r="23" spans="1:7" ht="12.75">
      <c r="A23" s="368" t="s">
        <v>472</v>
      </c>
      <c r="B23" s="369"/>
      <c r="C23" s="369"/>
      <c r="D23" s="369"/>
      <c r="E23" s="267">
        <f>SUM(E4:E22)</f>
        <v>5275425</v>
      </c>
      <c r="F23" s="267">
        <f>SUM(F4:F22)</f>
        <v>3017475</v>
      </c>
      <c r="G23" s="267">
        <f>SUM(G4:G22)</f>
        <v>1621.564453125</v>
      </c>
    </row>
  </sheetData>
  <sheetProtection/>
  <mergeCells count="7">
    <mergeCell ref="C1:D1"/>
    <mergeCell ref="A23:D23"/>
    <mergeCell ref="A1:A2"/>
    <mergeCell ref="B1:B2"/>
    <mergeCell ref="G1:G2"/>
    <mergeCell ref="F1:F2"/>
    <mergeCell ref="E1:E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E14" sqref="A1:IV16384"/>
    </sheetView>
  </sheetViews>
  <sheetFormatPr defaultColWidth="9.00390625" defaultRowHeight="12.75"/>
  <cols>
    <col min="1" max="1" width="15.125" style="198" customWidth="1"/>
    <col min="2" max="2" width="8.125" style="198" customWidth="1"/>
    <col min="3" max="3" width="9.125" style="198" customWidth="1"/>
    <col min="4" max="4" width="12.25390625" style="198" bestFit="1" customWidth="1"/>
    <col min="5" max="5" width="23.25390625" style="198" customWidth="1"/>
    <col min="6" max="7" width="9.125" style="198" customWidth="1"/>
    <col min="8" max="8" width="13.125" style="198" customWidth="1"/>
    <col min="9" max="16384" width="9.125" style="198" customWidth="1"/>
  </cols>
  <sheetData>
    <row r="2" spans="1:8" ht="12.75">
      <c r="A2" s="404" t="s">
        <v>485</v>
      </c>
      <c r="B2" s="407"/>
      <c r="C2" s="407"/>
      <c r="D2" s="405"/>
      <c r="E2" s="404" t="s">
        <v>486</v>
      </c>
      <c r="F2" s="407"/>
      <c r="G2" s="407"/>
      <c r="H2" s="405"/>
    </row>
    <row r="3" spans="1:8" ht="81" customHeight="1">
      <c r="A3" s="392" t="s">
        <v>487</v>
      </c>
      <c r="B3" s="215" t="s">
        <v>0</v>
      </c>
      <c r="C3" s="215" t="s">
        <v>1</v>
      </c>
      <c r="D3" s="215" t="s">
        <v>325</v>
      </c>
      <c r="E3" s="392" t="s">
        <v>488</v>
      </c>
      <c r="F3" s="215" t="s">
        <v>0</v>
      </c>
      <c r="G3" s="215" t="s">
        <v>1</v>
      </c>
      <c r="H3" s="215" t="s">
        <v>325</v>
      </c>
    </row>
    <row r="4" spans="1:8" ht="12.75">
      <c r="A4" s="410"/>
      <c r="B4" s="217">
        <v>756</v>
      </c>
      <c r="C4" s="217">
        <v>75618</v>
      </c>
      <c r="D4" s="283">
        <v>50000</v>
      </c>
      <c r="E4" s="410"/>
      <c r="F4" s="216">
        <v>851</v>
      </c>
      <c r="G4" s="216">
        <v>85153</v>
      </c>
      <c r="H4" s="304">
        <v>3000</v>
      </c>
    </row>
    <row r="5" spans="1:8" ht="12.75">
      <c r="A5" s="410"/>
      <c r="B5" s="216"/>
      <c r="C5" s="216"/>
      <c r="D5" s="272"/>
      <c r="E5" s="410"/>
      <c r="F5" s="216">
        <v>851</v>
      </c>
      <c r="G5" s="216">
        <v>85154</v>
      </c>
      <c r="H5" s="304">
        <v>37500</v>
      </c>
    </row>
    <row r="6" spans="1:8" ht="12.75">
      <c r="A6" s="411"/>
      <c r="B6" s="216"/>
      <c r="C6" s="216"/>
      <c r="D6" s="272"/>
      <c r="E6" s="411"/>
      <c r="F6" s="216">
        <v>851</v>
      </c>
      <c r="G6" s="216">
        <v>85195</v>
      </c>
      <c r="H6" s="304">
        <v>9500</v>
      </c>
    </row>
    <row r="7" spans="1:8" ht="12.75">
      <c r="A7" s="368" t="s">
        <v>381</v>
      </c>
      <c r="B7" s="408"/>
      <c r="C7" s="409"/>
      <c r="D7" s="267">
        <f>SUM(D4:D6)</f>
        <v>50000</v>
      </c>
      <c r="E7" s="368" t="s">
        <v>381</v>
      </c>
      <c r="F7" s="408"/>
      <c r="G7" s="409"/>
      <c r="H7" s="267">
        <f>SUM(H4:H6)</f>
        <v>50000</v>
      </c>
    </row>
  </sheetData>
  <sheetProtection/>
  <mergeCells count="6">
    <mergeCell ref="A2:D2"/>
    <mergeCell ref="E2:H2"/>
    <mergeCell ref="A7:C7"/>
    <mergeCell ref="E7:G7"/>
    <mergeCell ref="A3:A6"/>
    <mergeCell ref="E3:E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5.125" style="198" customWidth="1"/>
    <col min="2" max="2" width="8.125" style="198" customWidth="1"/>
    <col min="3" max="3" width="9.125" style="198" customWidth="1"/>
    <col min="4" max="4" width="12.25390625" style="198" bestFit="1" customWidth="1"/>
    <col min="5" max="5" width="10.75390625" style="198" customWidth="1"/>
    <col min="6" max="7" width="9.125" style="198" customWidth="1"/>
    <col min="8" max="8" width="13.125" style="198" customWidth="1"/>
    <col min="9" max="16384" width="9.125" style="198" customWidth="1"/>
  </cols>
  <sheetData>
    <row r="1" ht="13.5" thickBot="1"/>
    <row r="2" spans="1:8" ht="12.75">
      <c r="A2" s="412" t="s">
        <v>485</v>
      </c>
      <c r="B2" s="413"/>
      <c r="C2" s="413"/>
      <c r="D2" s="414"/>
      <c r="E2" s="412" t="s">
        <v>486</v>
      </c>
      <c r="F2" s="413"/>
      <c r="G2" s="413"/>
      <c r="H2" s="414"/>
    </row>
    <row r="3" spans="1:8" ht="81" customHeight="1">
      <c r="A3" s="312" t="s">
        <v>0</v>
      </c>
      <c r="B3" s="215" t="s">
        <v>1</v>
      </c>
      <c r="C3" s="311" t="s">
        <v>536</v>
      </c>
      <c r="D3" s="313" t="s">
        <v>325</v>
      </c>
      <c r="E3" s="312" t="s">
        <v>0</v>
      </c>
      <c r="F3" s="215" t="s">
        <v>1</v>
      </c>
      <c r="G3" s="311" t="s">
        <v>536</v>
      </c>
      <c r="H3" s="313" t="s">
        <v>325</v>
      </c>
    </row>
    <row r="4" spans="1:8" ht="12.75">
      <c r="A4" s="314">
        <v>900</v>
      </c>
      <c r="B4" s="217">
        <v>90020</v>
      </c>
      <c r="C4" s="217">
        <v>400</v>
      </c>
      <c r="D4" s="315">
        <v>1500</v>
      </c>
      <c r="E4" s="316">
        <v>900</v>
      </c>
      <c r="F4" s="216">
        <v>90020</v>
      </c>
      <c r="G4" s="216">
        <v>4210</v>
      </c>
      <c r="H4" s="319">
        <v>2000</v>
      </c>
    </row>
    <row r="5" spans="1:8" ht="12.75">
      <c r="A5" s="316"/>
      <c r="B5" s="216"/>
      <c r="C5" s="217"/>
      <c r="D5" s="317"/>
      <c r="E5" s="316">
        <v>900</v>
      </c>
      <c r="F5" s="216">
        <v>90020</v>
      </c>
      <c r="G5" s="216">
        <v>4300</v>
      </c>
      <c r="H5" s="319">
        <v>13000</v>
      </c>
    </row>
    <row r="6" spans="1:8" ht="13.5" thickBot="1">
      <c r="A6" s="415" t="s">
        <v>381</v>
      </c>
      <c r="B6" s="416"/>
      <c r="C6" s="417"/>
      <c r="D6" s="318">
        <f>SUM(D4:D5)</f>
        <v>1500</v>
      </c>
      <c r="E6" s="415" t="s">
        <v>381</v>
      </c>
      <c r="F6" s="416"/>
      <c r="G6" s="417"/>
      <c r="H6" s="318">
        <f>SUM(H4:H5)</f>
        <v>15000</v>
      </c>
    </row>
  </sheetData>
  <sheetProtection/>
  <mergeCells count="4">
    <mergeCell ref="A2:D2"/>
    <mergeCell ref="E2:H2"/>
    <mergeCell ref="A6:C6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7.25390625" style="198" customWidth="1"/>
    <col min="2" max="2" width="8.125" style="198" customWidth="1"/>
    <col min="3" max="3" width="7.25390625" style="198" customWidth="1"/>
    <col min="4" max="4" width="8.125" style="198" customWidth="1"/>
    <col min="5" max="5" width="59.75390625" style="198" customWidth="1"/>
    <col min="6" max="6" width="15.25390625" style="198" customWidth="1"/>
    <col min="7" max="16384" width="9.125" style="198" customWidth="1"/>
  </cols>
  <sheetData>
    <row r="2" spans="1:6" ht="12.75">
      <c r="A2" s="404" t="s">
        <v>485</v>
      </c>
      <c r="B2" s="407"/>
      <c r="C2" s="407"/>
      <c r="D2" s="407"/>
      <c r="E2" s="407"/>
      <c r="F2" s="405"/>
    </row>
    <row r="3" spans="1:6" ht="28.5" customHeight="1">
      <c r="A3" s="214" t="s">
        <v>0</v>
      </c>
      <c r="B3" s="214" t="s">
        <v>1</v>
      </c>
      <c r="C3" s="320" t="s">
        <v>536</v>
      </c>
      <c r="D3" s="401" t="s">
        <v>489</v>
      </c>
      <c r="E3" s="431"/>
      <c r="F3" s="214" t="s">
        <v>325</v>
      </c>
    </row>
    <row r="4" spans="1:6" ht="12.75">
      <c r="A4" s="321">
        <v>750</v>
      </c>
      <c r="B4" s="321"/>
      <c r="C4" s="321"/>
      <c r="D4" s="420" t="s">
        <v>396</v>
      </c>
      <c r="E4" s="421"/>
      <c r="F4" s="323">
        <f>F5</f>
        <v>64444</v>
      </c>
    </row>
    <row r="5" spans="1:6" ht="12.75">
      <c r="A5" s="424"/>
      <c r="B5" s="327">
        <v>75011</v>
      </c>
      <c r="C5" s="327"/>
      <c r="D5" s="422" t="s">
        <v>543</v>
      </c>
      <c r="E5" s="433"/>
      <c r="F5" s="328">
        <f>F6</f>
        <v>64444</v>
      </c>
    </row>
    <row r="6" spans="1:6" ht="25.5" customHeight="1">
      <c r="A6" s="425"/>
      <c r="B6" s="309"/>
      <c r="C6" s="324">
        <v>2010</v>
      </c>
      <c r="D6" s="418" t="s">
        <v>544</v>
      </c>
      <c r="E6" s="432"/>
      <c r="F6" s="325">
        <v>64444</v>
      </c>
    </row>
    <row r="7" spans="1:6" ht="27" customHeight="1">
      <c r="A7" s="321">
        <v>751</v>
      </c>
      <c r="B7" s="321"/>
      <c r="C7" s="321"/>
      <c r="D7" s="420" t="s">
        <v>398</v>
      </c>
      <c r="E7" s="421"/>
      <c r="F7" s="275">
        <f>F8</f>
        <v>944</v>
      </c>
    </row>
    <row r="8" spans="1:6" ht="17.25" customHeight="1">
      <c r="A8" s="424"/>
      <c r="B8" s="327">
        <v>75101</v>
      </c>
      <c r="C8" s="329"/>
      <c r="D8" s="422" t="s">
        <v>545</v>
      </c>
      <c r="E8" s="433"/>
      <c r="F8" s="293">
        <f>F9</f>
        <v>944</v>
      </c>
    </row>
    <row r="9" spans="1:6" ht="26.25" customHeight="1">
      <c r="A9" s="425"/>
      <c r="B9" s="309"/>
      <c r="C9" s="309">
        <v>2010</v>
      </c>
      <c r="D9" s="418" t="s">
        <v>544</v>
      </c>
      <c r="E9" s="432"/>
      <c r="F9" s="266">
        <v>944</v>
      </c>
    </row>
    <row r="10" spans="1:6" ht="12.75">
      <c r="A10" s="321">
        <v>852</v>
      </c>
      <c r="B10" s="321"/>
      <c r="C10" s="321"/>
      <c r="D10" s="420" t="s">
        <v>109</v>
      </c>
      <c r="E10" s="421"/>
      <c r="F10" s="275">
        <f>F11+F13</f>
        <v>2191870</v>
      </c>
    </row>
    <row r="11" spans="1:6" ht="27" customHeight="1">
      <c r="A11" s="424"/>
      <c r="B11" s="327">
        <v>85212</v>
      </c>
      <c r="C11" s="327"/>
      <c r="D11" s="422" t="s">
        <v>491</v>
      </c>
      <c r="E11" s="433"/>
      <c r="F11" s="293">
        <f>F12</f>
        <v>2191400</v>
      </c>
    </row>
    <row r="12" spans="1:6" ht="30.75" customHeight="1">
      <c r="A12" s="428"/>
      <c r="B12" s="310"/>
      <c r="C12" s="326">
        <v>2010</v>
      </c>
      <c r="D12" s="426" t="s">
        <v>544</v>
      </c>
      <c r="E12" s="427"/>
      <c r="F12" s="277">
        <v>2191400</v>
      </c>
    </row>
    <row r="13" spans="1:6" ht="41.25" customHeight="1">
      <c r="A13" s="428"/>
      <c r="B13" s="327">
        <v>85213</v>
      </c>
      <c r="C13" s="327"/>
      <c r="D13" s="422" t="s">
        <v>442</v>
      </c>
      <c r="E13" s="423"/>
      <c r="F13" s="293">
        <f>F14</f>
        <v>470</v>
      </c>
    </row>
    <row r="14" spans="1:6" ht="27" customHeight="1">
      <c r="A14" s="425"/>
      <c r="B14" s="309"/>
      <c r="C14" s="309">
        <v>2010</v>
      </c>
      <c r="D14" s="418" t="s">
        <v>544</v>
      </c>
      <c r="E14" s="419"/>
      <c r="F14" s="266">
        <v>470</v>
      </c>
    </row>
    <row r="15" spans="1:6" ht="12.75">
      <c r="A15" s="368" t="s">
        <v>381</v>
      </c>
      <c r="B15" s="429"/>
      <c r="C15" s="429"/>
      <c r="D15" s="429"/>
      <c r="E15" s="430"/>
      <c r="F15" s="270">
        <f>F4+F10+F7</f>
        <v>2257258</v>
      </c>
    </row>
  </sheetData>
  <sheetProtection/>
  <mergeCells count="17">
    <mergeCell ref="A15:E15"/>
    <mergeCell ref="D3:E3"/>
    <mergeCell ref="D4:E4"/>
    <mergeCell ref="D6:E6"/>
    <mergeCell ref="D7:E7"/>
    <mergeCell ref="D9:E9"/>
    <mergeCell ref="D5:E5"/>
    <mergeCell ref="D8:E8"/>
    <mergeCell ref="A8:A9"/>
    <mergeCell ref="D11:E11"/>
    <mergeCell ref="D14:E14"/>
    <mergeCell ref="A2:F2"/>
    <mergeCell ref="D10:E10"/>
    <mergeCell ref="D13:E13"/>
    <mergeCell ref="A5:A6"/>
    <mergeCell ref="D12:E12"/>
    <mergeCell ref="A11:A1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8.875" style="198" customWidth="1"/>
    <col min="2" max="3" width="8.375" style="198" customWidth="1"/>
    <col min="4" max="4" width="68.125" style="198" customWidth="1"/>
    <col min="5" max="5" width="16.00390625" style="198" customWidth="1"/>
    <col min="6" max="16384" width="9.125" style="198" customWidth="1"/>
  </cols>
  <sheetData>
    <row r="2" spans="1:5" ht="12.75">
      <c r="A2" s="404" t="s">
        <v>486</v>
      </c>
      <c r="B2" s="407"/>
      <c r="C2" s="407"/>
      <c r="D2" s="407"/>
      <c r="E2" s="405"/>
    </row>
    <row r="3" spans="1:5" ht="12.75">
      <c r="A3" s="214" t="s">
        <v>0</v>
      </c>
      <c r="B3" s="214" t="s">
        <v>1</v>
      </c>
      <c r="C3" s="214" t="s">
        <v>536</v>
      </c>
      <c r="D3" s="214" t="s">
        <v>489</v>
      </c>
      <c r="E3" s="214" t="s">
        <v>325</v>
      </c>
    </row>
    <row r="4" spans="1:5" ht="12.75">
      <c r="A4" s="321">
        <v>750</v>
      </c>
      <c r="B4" s="330"/>
      <c r="C4" s="330"/>
      <c r="D4" s="322" t="s">
        <v>396</v>
      </c>
      <c r="E4" s="331">
        <f>E5</f>
        <v>64444</v>
      </c>
    </row>
    <row r="5" spans="1:5" ht="12.75">
      <c r="A5" s="434"/>
      <c r="B5" s="332">
        <v>75011</v>
      </c>
      <c r="C5" s="332"/>
      <c r="D5" s="306" t="s">
        <v>397</v>
      </c>
      <c r="E5" s="333">
        <f>SUM(E6:E8)</f>
        <v>64444</v>
      </c>
    </row>
    <row r="6" spans="1:5" ht="12.75">
      <c r="A6" s="428"/>
      <c r="B6" s="435"/>
      <c r="C6" s="335">
        <v>4010</v>
      </c>
      <c r="D6" s="296" t="s">
        <v>23</v>
      </c>
      <c r="E6" s="334">
        <v>54780</v>
      </c>
    </row>
    <row r="7" spans="1:5" ht="12.75">
      <c r="A7" s="428"/>
      <c r="B7" s="362"/>
      <c r="C7" s="335">
        <v>4110</v>
      </c>
      <c r="D7" s="296" t="s">
        <v>27</v>
      </c>
      <c r="E7" s="334">
        <v>8322</v>
      </c>
    </row>
    <row r="8" spans="1:5" ht="12.75">
      <c r="A8" s="425"/>
      <c r="B8" s="436"/>
      <c r="C8" s="335">
        <v>4120</v>
      </c>
      <c r="D8" s="296" t="s">
        <v>29</v>
      </c>
      <c r="E8" s="334">
        <v>1342</v>
      </c>
    </row>
    <row r="9" spans="1:5" ht="25.5" customHeight="1">
      <c r="A9" s="321">
        <v>751</v>
      </c>
      <c r="B9" s="330"/>
      <c r="C9" s="330"/>
      <c r="D9" s="322" t="s">
        <v>398</v>
      </c>
      <c r="E9" s="331">
        <f>E10</f>
        <v>944</v>
      </c>
    </row>
    <row r="10" spans="1:5" ht="12.75">
      <c r="A10" s="434"/>
      <c r="B10" s="332">
        <v>75011</v>
      </c>
      <c r="C10" s="332"/>
      <c r="D10" s="306" t="s">
        <v>490</v>
      </c>
      <c r="E10" s="333">
        <f>SUM(E11:E13)</f>
        <v>944</v>
      </c>
    </row>
    <row r="11" spans="1:5" ht="12.75">
      <c r="A11" s="428"/>
      <c r="B11" s="361"/>
      <c r="C11" s="335">
        <v>4110</v>
      </c>
      <c r="D11" s="296" t="s">
        <v>27</v>
      </c>
      <c r="E11" s="334">
        <v>122</v>
      </c>
    </row>
    <row r="12" spans="1:5" ht="12.75">
      <c r="A12" s="428"/>
      <c r="B12" s="371"/>
      <c r="C12" s="335">
        <v>4120</v>
      </c>
      <c r="D12" s="296" t="s">
        <v>29</v>
      </c>
      <c r="E12" s="334">
        <v>20</v>
      </c>
    </row>
    <row r="13" spans="1:5" ht="12.75">
      <c r="A13" s="425"/>
      <c r="B13" s="437"/>
      <c r="C13" s="224">
        <v>4170</v>
      </c>
      <c r="D13" s="206" t="s">
        <v>33</v>
      </c>
      <c r="E13" s="273">
        <v>802</v>
      </c>
    </row>
    <row r="14" spans="1:5" ht="15" customHeight="1">
      <c r="A14" s="321">
        <v>852</v>
      </c>
      <c r="B14" s="330"/>
      <c r="C14" s="330"/>
      <c r="D14" s="322" t="s">
        <v>109</v>
      </c>
      <c r="E14" s="331">
        <f>E15+E29</f>
        <v>2191870</v>
      </c>
    </row>
    <row r="15" spans="1:5" ht="25.5">
      <c r="A15" s="434"/>
      <c r="B15" s="332">
        <v>85212</v>
      </c>
      <c r="C15" s="332"/>
      <c r="D15" s="306" t="s">
        <v>491</v>
      </c>
      <c r="E15" s="333">
        <f>SUM(E16:E28)</f>
        <v>2191400</v>
      </c>
    </row>
    <row r="16" spans="1:5" ht="12.75">
      <c r="A16" s="438"/>
      <c r="B16" s="361"/>
      <c r="C16" s="335">
        <v>3110</v>
      </c>
      <c r="D16" s="296" t="s">
        <v>117</v>
      </c>
      <c r="E16" s="334">
        <v>2114658</v>
      </c>
    </row>
    <row r="17" spans="1:5" ht="12.75">
      <c r="A17" s="438"/>
      <c r="B17" s="371"/>
      <c r="C17" s="335">
        <v>4010</v>
      </c>
      <c r="D17" s="296" t="s">
        <v>23</v>
      </c>
      <c r="E17" s="334">
        <v>48500</v>
      </c>
    </row>
    <row r="18" spans="1:5" ht="12.75">
      <c r="A18" s="438"/>
      <c r="B18" s="371"/>
      <c r="C18" s="335">
        <v>4110</v>
      </c>
      <c r="D18" s="296" t="s">
        <v>27</v>
      </c>
      <c r="E18" s="334">
        <v>21000</v>
      </c>
    </row>
    <row r="19" spans="1:5" ht="12.75">
      <c r="A19" s="438"/>
      <c r="B19" s="371"/>
      <c r="C19" s="335">
        <v>4120</v>
      </c>
      <c r="D19" s="296" t="s">
        <v>29</v>
      </c>
      <c r="E19" s="334">
        <v>1800</v>
      </c>
    </row>
    <row r="20" spans="1:5" ht="12.75">
      <c r="A20" s="438"/>
      <c r="B20" s="371"/>
      <c r="C20" s="335">
        <v>4210</v>
      </c>
      <c r="D20" s="296" t="s">
        <v>35</v>
      </c>
      <c r="E20" s="334">
        <v>1000</v>
      </c>
    </row>
    <row r="21" spans="1:5" ht="12.75">
      <c r="A21" s="438"/>
      <c r="B21" s="371"/>
      <c r="C21" s="335">
        <v>4260</v>
      </c>
      <c r="D21" s="296" t="s">
        <v>69</v>
      </c>
      <c r="E21" s="334">
        <v>500</v>
      </c>
    </row>
    <row r="22" spans="1:5" ht="12.75">
      <c r="A22" s="438"/>
      <c r="B22" s="371"/>
      <c r="C22" s="335">
        <v>4280</v>
      </c>
      <c r="D22" s="296" t="s">
        <v>71</v>
      </c>
      <c r="E22" s="334">
        <v>150</v>
      </c>
    </row>
    <row r="23" spans="1:5" ht="12.75">
      <c r="A23" s="438"/>
      <c r="B23" s="371"/>
      <c r="C23" s="335">
        <v>4350</v>
      </c>
      <c r="D23" s="296" t="s">
        <v>178</v>
      </c>
      <c r="E23" s="334">
        <v>50</v>
      </c>
    </row>
    <row r="24" spans="1:5" ht="12.75">
      <c r="A24" s="438"/>
      <c r="B24" s="371"/>
      <c r="C24" s="335">
        <v>4370</v>
      </c>
      <c r="D24" s="296" t="s">
        <v>540</v>
      </c>
      <c r="E24" s="334">
        <v>50</v>
      </c>
    </row>
    <row r="25" spans="1:5" ht="12.75">
      <c r="A25" s="438"/>
      <c r="B25" s="371"/>
      <c r="C25" s="335">
        <v>4440</v>
      </c>
      <c r="D25" s="296" t="s">
        <v>537</v>
      </c>
      <c r="E25" s="334">
        <v>2100</v>
      </c>
    </row>
    <row r="26" spans="1:5" ht="12.75">
      <c r="A26" s="438"/>
      <c r="B26" s="371"/>
      <c r="C26" s="335">
        <v>4700</v>
      </c>
      <c r="D26" s="296" t="s">
        <v>539</v>
      </c>
      <c r="E26" s="334">
        <v>992</v>
      </c>
    </row>
    <row r="27" spans="1:5" ht="12.75">
      <c r="A27" s="438"/>
      <c r="B27" s="371"/>
      <c r="C27" s="335">
        <v>4740</v>
      </c>
      <c r="D27" s="296" t="s">
        <v>541</v>
      </c>
      <c r="E27" s="334">
        <v>300</v>
      </c>
    </row>
    <row r="28" spans="1:5" ht="12.75">
      <c r="A28" s="438"/>
      <c r="B28" s="437"/>
      <c r="C28" s="335">
        <v>4750</v>
      </c>
      <c r="D28" s="296" t="s">
        <v>546</v>
      </c>
      <c r="E28" s="334">
        <v>300</v>
      </c>
    </row>
    <row r="29" spans="1:5" ht="38.25">
      <c r="A29" s="438"/>
      <c r="B29" s="332">
        <v>85213</v>
      </c>
      <c r="C29" s="332"/>
      <c r="D29" s="306" t="s">
        <v>444</v>
      </c>
      <c r="E29" s="333">
        <f>E30</f>
        <v>470</v>
      </c>
    </row>
    <row r="30" spans="1:5" ht="12.75">
      <c r="A30" s="439"/>
      <c r="B30" s="233"/>
      <c r="C30" s="335">
        <v>4130</v>
      </c>
      <c r="D30" s="296" t="s">
        <v>542</v>
      </c>
      <c r="E30" s="334">
        <v>470</v>
      </c>
    </row>
    <row r="31" spans="1:5" ht="12.75">
      <c r="A31" s="368" t="s">
        <v>381</v>
      </c>
      <c r="B31" s="429"/>
      <c r="C31" s="429"/>
      <c r="D31" s="430"/>
      <c r="E31" s="274">
        <f>E14+E9+E4</f>
        <v>2257258</v>
      </c>
    </row>
    <row r="38" ht="12.75">
      <c r="E38" s="219"/>
    </row>
  </sheetData>
  <sheetProtection/>
  <mergeCells count="8">
    <mergeCell ref="A2:E2"/>
    <mergeCell ref="A31:D31"/>
    <mergeCell ref="A5:A8"/>
    <mergeCell ref="B6:B8"/>
    <mergeCell ref="A10:A13"/>
    <mergeCell ref="B11:B13"/>
    <mergeCell ref="A15:A30"/>
    <mergeCell ref="B16:B28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2010-08-23T05:56:00Z</cp:lastPrinted>
  <dcterms:created xsi:type="dcterms:W3CDTF">1997-02-26T13:46:56Z</dcterms:created>
  <dcterms:modified xsi:type="dcterms:W3CDTF">2010-08-23T05:56:02Z</dcterms:modified>
  <cp:category/>
  <cp:version/>
  <cp:contentType/>
  <cp:contentStatus/>
</cp:coreProperties>
</file>