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6"/>
  </bookViews>
  <sheets>
    <sheet name="Zał.nr 1" sheetId="1" r:id="rId1"/>
    <sheet name="Zał.nr 2" sheetId="2" r:id="rId2"/>
    <sheet name="Zał.nr 3" sheetId="3" r:id="rId3"/>
    <sheet name="Zał.nr 4" sheetId="4" r:id="rId4"/>
    <sheet name="Prognoza długu" sheetId="5" r:id="rId5"/>
    <sheet name="Zał.nr 5" sheetId="6" r:id="rId6"/>
    <sheet name="Zał.nr 6" sheetId="7" r:id="rId7"/>
  </sheets>
  <externalReferences>
    <externalReference r:id="rId10"/>
  </externalReferences>
  <definedNames>
    <definedName name="_xlnm.Print_Titles" localSheetId="0">'Zał.nr 1'!$3:$4</definedName>
    <definedName name="_xlnm.Print_Titles" localSheetId="1">'Zał.nr 2'!$3:$4</definedName>
  </definedNames>
  <calcPr fullCalcOnLoad="1"/>
</workbook>
</file>

<file path=xl/sharedStrings.xml><?xml version="1.0" encoding="utf-8"?>
<sst xmlns="http://schemas.openxmlformats.org/spreadsheetml/2006/main" count="1076" uniqueCount="496">
  <si>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</si>
  <si>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</si>
  <si>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</si>
  <si>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</si>
  <si>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</si>
  <si>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</si>
  <si>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</si>
  <si>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</si>
  <si>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</si>
  <si>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</si>
  <si>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</si>
  <si>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</si>
  <si>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</si>
  <si>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</si>
  <si>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</si>
  <si>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</si>
  <si>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</si>
  <si>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</si>
  <si>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</si>
  <si>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</si>
  <si>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</si>
  <si>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</si>
  <si>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</si>
  <si>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</si>
  <si>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</si>
  <si>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</si>
  <si>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</si>
  <si>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</si>
  <si>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</si>
  <si>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</si>
  <si>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</si>
  <si>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</si>
  <si>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</si>
  <si>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</si>
  <si>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</si>
  <si>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</si>
  <si>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</si>
  <si>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</si>
  <si>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</si>
  <si>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</si>
  <si>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</si>
  <si>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</si>
  <si>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</si>
  <si>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</si>
  <si>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</si>
  <si>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</si>
  <si>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</si>
  <si>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</si>
  <si>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</si>
  <si>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</si>
  <si>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</si>
  <si>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</si>
  <si>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</si>
  <si>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</si>
  <si>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</si>
  <si>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</si>
  <si>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</si>
  <si>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</si>
  <si>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</si>
  <si>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</si>
  <si>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</si>
  <si>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</si>
  <si>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</si>
  <si>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</si>
  <si>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</si>
  <si>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</si>
  <si>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</si>
  <si>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</si>
  <si>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</si>
  <si>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</si>
  <si>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</si>
  <si>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</si>
  <si>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</si>
  <si>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</si>
  <si>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</si>
  <si>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</si>
  <si>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</si>
  <si>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</si>
  <si>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</si>
  <si>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</si>
  <si>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</si>
  <si>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</si>
  <si>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Wykup działek</t>
  </si>
  <si>
    <t>Wykup dróg</t>
  </si>
  <si>
    <t xml:space="preserve">Zakup sprzętu komputerowego 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</si>
  <si>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</si>
  <si>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</si>
  <si>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</si>
  <si>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</si>
  <si>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Ochrona zdrowia</t>
  </si>
  <si>
    <t>Przeciwdziałanie alkoholizmowi</t>
  </si>
  <si>
    <t>Przeniesienie do działu 010-01010-6050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</si>
  <si>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</si>
  <si>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</si>
  <si>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</si>
  <si>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</si>
  <si>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</si>
  <si>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</si>
  <si>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</si>
  <si>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</si>
  <si>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</si>
  <si>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</si>
  <si>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</si>
  <si>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</si>
  <si>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</si>
  <si>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</si>
  <si>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</si>
  <si>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</si>
  <si>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</si>
  <si>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</si>
  <si>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</si>
  <si>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</si>
  <si>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</si>
  <si>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</si>
  <si>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</si>
  <si>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</si>
  <si>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</si>
  <si>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</si>
  <si>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</si>
  <si>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</si>
  <si>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</si>
  <si>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</si>
  <si>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</si>
  <si>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</si>
  <si>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</si>
  <si>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</si>
  <si>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</si>
  <si>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</si>
  <si>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</si>
  <si>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</si>
  <si>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</si>
  <si>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</si>
  <si>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</si>
  <si>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</si>
  <si>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</si>
  <si>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</si>
  <si>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</si>
  <si>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</si>
  <si>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</si>
  <si>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</si>
  <si>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</si>
  <si>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</si>
  <si>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</si>
  <si>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</si>
  <si>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</si>
  <si>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</si>
  <si>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</si>
  <si>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</si>
  <si>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</si>
  <si>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</si>
  <si>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</si>
  <si>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</si>
  <si>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</si>
  <si>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</si>
  <si>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</si>
  <si>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</si>
  <si>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</si>
  <si>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</si>
  <si>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</si>
  <si>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</si>
  <si>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</si>
  <si>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</si>
  <si>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</si>
  <si>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</si>
  <si>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</si>
  <si>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</si>
  <si>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</si>
  <si>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</si>
  <si>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</si>
  <si>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</si>
  <si>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</si>
  <si>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</si>
  <si>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</si>
  <si>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</si>
  <si>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</si>
  <si>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</si>
  <si>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</si>
  <si>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</si>
  <si>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</si>
  <si>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</si>
  <si>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</si>
  <si>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</si>
  <si>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</si>
  <si>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</si>
  <si>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</si>
  <si>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</si>
  <si>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</si>
  <si>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</si>
  <si>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</si>
  <si>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</si>
  <si>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</si>
  <si>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</si>
  <si>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</si>
  <si>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</si>
  <si>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</si>
  <si>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</si>
  <si>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</si>
  <si>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Urzędy naczelnych organów władzy państwowej, kontroli i ochrony prawa i sądownictwa</t>
  </si>
  <si>
    <t>Urzędy naczelnych organów władzy państwowej, kontroli i ochrony prawa</t>
  </si>
  <si>
    <t>Dotacje celowe otrzymane z budżetu państwa na zadania bieżące realizowane przez gminę na podstawie porozumień z organami administracji rządowej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</si>
  <si>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</si>
  <si>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</si>
  <si>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</si>
  <si>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</si>
  <si>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</si>
  <si>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</si>
  <si>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</si>
  <si>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</si>
  <si>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</si>
  <si>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</si>
  <si>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</si>
  <si>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</si>
  <si>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</si>
  <si>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</si>
  <si>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Budowa sieci wodociągowej w m.K-rz ul.Szkolna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</si>
  <si>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</si>
  <si>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</si>
  <si>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</si>
  <si>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</si>
  <si>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</si>
  <si>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</si>
  <si>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</si>
  <si>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</si>
  <si>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</si>
  <si>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Budowa centrum rekreacyjno-sportowego w rejonie ul.Leśnej w Kaźmierzu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</si>
  <si>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</si>
  <si>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</si>
  <si>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</si>
  <si>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</si>
  <si>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</si>
  <si>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</si>
  <si>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Rekompensaty utraconych dochodów w podatkach i opłatach lokalnych</t>
  </si>
  <si>
    <t>Budowa sieci gazowej (bez przyłączy) od m.Pólko przez m.Piersko do m.Bytyń</t>
  </si>
  <si>
    <t>Monitoring wizyjny w Gimnazjum w Kaźmierzu</t>
  </si>
  <si>
    <t>Wpływ z tytułu  pomocy finansowej udzielanej między jednostkami samorządu terytorialnego na dofinansowanie własnych zadań bieżących</t>
  </si>
  <si>
    <t>Beczkowóz asenizacyjny.</t>
  </si>
  <si>
    <t>Autobus do przewozu niepełnosprawnych uczniów zamieszkujących teren Gminy</t>
  </si>
  <si>
    <t>Urządzenia monitorujące Rynek w Kaźmierzu</t>
  </si>
  <si>
    <t>0870</t>
  </si>
  <si>
    <t>Wpływy ze sprzedaży składników majątkowych</t>
  </si>
  <si>
    <t>0960</t>
  </si>
  <si>
    <t>Otrzymane spadki, zapisy i darowizny w postaci pieniężnej</t>
  </si>
  <si>
    <t>Dotacje celowe otrzymane z budżetu państwa na inwestycje i zakupy inwestycyjne z zakresu administracji rządowej oraz innych zadań zleconych gminom ustawami</t>
  </si>
  <si>
    <t>Budowa kotłowni gazowej  w budynku Ośrodka Zdrowia w Kaźmierzu</t>
  </si>
  <si>
    <t>Budowa kompleksu boisk wielofunkcyjnych Orlik 2012</t>
  </si>
  <si>
    <t>DOCHODY GMINY KAŹMIERZ W 2009r.</t>
  </si>
  <si>
    <t xml:space="preserve">Plan dochodów budżetowych na 2009 r.               </t>
  </si>
  <si>
    <t>WYDATKI GMINY KAŹMIERZ W 2009 r.</t>
  </si>
  <si>
    <t xml:space="preserve">Plan wydatków budżetowych na 2009 r. </t>
  </si>
  <si>
    <t>Drogi publiczne wojewódzkie</t>
  </si>
  <si>
    <t>Stołówki szkolne</t>
  </si>
  <si>
    <t>DOCHODY I WYDATKI NA ZADANIA ZLECONE GMINOM</t>
  </si>
  <si>
    <t>NA 2009 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</si>
  <si>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</si>
  <si>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</si>
  <si>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</si>
  <si>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</si>
  <si>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</si>
  <si>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</si>
  <si>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</si>
  <si>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</si>
  <si>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</si>
  <si>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</si>
  <si>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</si>
  <si>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</si>
  <si>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</si>
  <si>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</si>
  <si>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</si>
  <si>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</si>
  <si>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</si>
  <si>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PRZYCHODY I ROZCHODY 2009 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</si>
  <si>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</si>
  <si>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</si>
  <si>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</si>
  <si>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</si>
  <si>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</si>
  <si>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</si>
  <si>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Przychody z zaciągniętych pożyczek i kredytów na rynku krajowym</t>
  </si>
  <si>
    <t>Zmniejszenie przychodów z tytułu kredytów i pożyczek</t>
  </si>
  <si>
    <t>Przychody z tytułu innych rozliceń krajowych</t>
  </si>
  <si>
    <t>Spłaty otrzymanych krajowych pożyczek i kredytów</t>
  </si>
  <si>
    <t>Spłaty pożyczek otrzymanych  na finansowanie zadań realizowanych z udziałem środków pochodzących z budżetu Unii Europejskiej</t>
  </si>
  <si>
    <t>Plan na 2009r.</t>
  </si>
  <si>
    <t>Prognoza długu Gminy Kaźmierz na lata 2009 - 2019</t>
  </si>
  <si>
    <t>1. Zadłużenie gminy Kaźmierz na 31.12.2008 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</si>
  <si>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</si>
  <si>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</si>
  <si>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</si>
  <si>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</si>
  <si>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</si>
  <si>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</si>
  <si>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31.12.2009 r. (poz.1+2-3a)</t>
  </si>
  <si>
    <t>5. Planowane dochody budżetu gminy na 2009 r.</t>
  </si>
  <si>
    <t>6. Łączna kwota do spłaty rat kredytów i pożyczek wraz z odsetkami w</t>
  </si>
  <si>
    <t xml:space="preserve">    stosunku doplanowanych dochodów gminy na 2009 r. (poz.3/poz.5)</t>
  </si>
  <si>
    <t>7. Stosunek łącznej kwoty długu na koniec roku budżetowego do dochodów</t>
  </si>
  <si>
    <t xml:space="preserve">    gminy (poz.4/poz.5) w tym roku budżetowym wynosić będzie</t>
  </si>
  <si>
    <t>Prognoza na rok 2010</t>
  </si>
  <si>
    <t>1. Zadłużenie gminy Kaźmierz na początek roku budżetowego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</si>
  <si>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</si>
  <si>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</si>
  <si>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</si>
  <si>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Prognoza na rok 2011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</si>
  <si>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</si>
  <si>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</si>
  <si>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</si>
  <si>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Prognoza na rok 2012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</si>
  <si>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</si>
  <si>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</si>
  <si>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</si>
  <si>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Prognoza na rok 2013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</si>
  <si>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</si>
  <si>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</si>
  <si>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</si>
  <si>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Prognoza na rok 2014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</si>
  <si>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</si>
  <si>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</si>
  <si>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</si>
  <si>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Prognoza na rok 2015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</si>
  <si>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</si>
  <si>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</si>
  <si>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</si>
  <si>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Prognoza na rok 2016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</si>
  <si>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</si>
  <si>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</si>
  <si>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</si>
  <si>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Prognoza na rok 2017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</si>
  <si>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</si>
  <si>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</si>
  <si>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</si>
  <si>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>Prognoza na rok 2018</t>
  </si>
  <si>
    <t>4. Prognozowana kwota długu na dzień 31.12.2018 r. (poz.1+2-3a)</t>
  </si>
  <si>
    <t>5. Planowane dochody budżetu gminy na 2018 r.</t>
  </si>
  <si>
    <t xml:space="preserve">    stosunku doplanowanych dochodów gminy na 2018 r. (poz.3/poz.5)</t>
  </si>
  <si>
    <t>Prognoza na rok 2019</t>
  </si>
  <si>
    <t>4. Prognozowana kwota długu na dzień 31.12.2019 r. (poz.1+2-3a)</t>
  </si>
  <si>
    <t>5. Planowane dochody budżetu gminy na 2019 r.</t>
  </si>
  <si>
    <t xml:space="preserve">    stosunku doplanowanych dochodów gminy na 2019 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</si>
  <si>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</si>
  <si>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</si>
  <si>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WYDATKI MAJĄTKOWE GMINY KAŹMIERZ W 2009 r.</t>
  </si>
  <si>
    <t xml:space="preserve">Plan wydatków majątkowych na 2009 r. </t>
  </si>
  <si>
    <t>Budowa sieci wodociągowej w m.K-rz  rej.ul.Konopnickiej-Dolnej</t>
  </si>
  <si>
    <t>Budowa sieci wodociągowej w m.Radzyny rej.ul.Krańcowej</t>
  </si>
  <si>
    <t>Budowa sieci wodociągowej w m.Kopanina</t>
  </si>
  <si>
    <t>Budowa sieci wodociągowej w m.Radzyny - Chrusty</t>
  </si>
  <si>
    <t>Pomoc finansowa dla Województwa Wielkopolskiego na budowę chodnika w ciągu drogi wojewódzkiej Nr 306 w m.Pólko</t>
  </si>
  <si>
    <t>Pomoc finansowa dla Powiatu Szamotulskiego na budowę dróg i chodników leżących na terenie Gminy Kaźmierz</t>
  </si>
  <si>
    <t>Przebudowa szkolnych przystanków autobusowych</t>
  </si>
  <si>
    <t>Klimatyzacja pomieszczeń</t>
  </si>
  <si>
    <t>Ocieplenie budynku świetlicy wiejskiej w Radzynach</t>
  </si>
  <si>
    <t>Budowa boiska sportowego w m.Witkowice</t>
  </si>
  <si>
    <t>Budowa systemu ogrzewania świetlicy w gaju Wielkim wraz z jej wyposażeniem i infrastrukturą towarzyszącą</t>
  </si>
  <si>
    <t>Wyniana okien w Szkole Podstawowej w Sokolnikach Wielkich</t>
  </si>
  <si>
    <t>Adaptacja poddasza w Szkole Podstawowej w Bytyniu</t>
  </si>
  <si>
    <t>Wyniana okien w Szkole Podstawowej w Bytyniu</t>
  </si>
  <si>
    <t>Modernizacja kotłowni w Szkole Podstawowej w Gaju Wielkim</t>
  </si>
  <si>
    <t>Zakup laptopa - Szkoła Podstawowa w Sokolnikach Wielkich</t>
  </si>
  <si>
    <t>Zakup projektora - Szkoła Podstawowa w Sokolnikach Wielkich</t>
  </si>
  <si>
    <t>Zakup laptopa - Szkoła Podstawowa w Gaju Wielkim</t>
  </si>
  <si>
    <t>Zakup patelni elektrycznej</t>
  </si>
  <si>
    <t>Zakup mebli do świetlicy terapeutycznej w Młodasku</t>
  </si>
  <si>
    <t>Oświetlenie przystanków autobusowych w m.Bytyń</t>
  </si>
  <si>
    <t>Oświetlenie dróg osiedlowych na terenie gminy Kaźmierz: m.Komorowo</t>
  </si>
  <si>
    <t>Oświetlenie dróg osiedlowych na terenie gminy Kaźmierz: m.Kaźmierz rej.ul.Konopnickiej - Dolnej</t>
  </si>
  <si>
    <t>Plan wydatków na wieloletnie programy inwestycyjne.</t>
  </si>
  <si>
    <t>Lp.</t>
  </si>
  <si>
    <t xml:space="preserve">Nazwa i cel programu </t>
  </si>
  <si>
    <t>Okres realizacji programu</t>
  </si>
  <si>
    <t>Wysokość wydatków w okresie realizacji</t>
  </si>
  <si>
    <t>Źródła finansowania</t>
  </si>
  <si>
    <t>Ogółem</t>
  </si>
  <si>
    <t>2009r.</t>
  </si>
  <si>
    <t>2010r.</t>
  </si>
  <si>
    <t>2011r.</t>
  </si>
  <si>
    <t>Koszty poniesione w latach poprz.</t>
  </si>
  <si>
    <t>środki własne</t>
  </si>
  <si>
    <t>środki bezzwrotne z UE</t>
  </si>
  <si>
    <t>kredyt</t>
  </si>
  <si>
    <t>inne żródła</t>
  </si>
  <si>
    <t>1.</t>
  </si>
  <si>
    <t>Budowa stacji wodociągowej w Gaju Wielkim</t>
  </si>
  <si>
    <t>2007-2010</t>
  </si>
  <si>
    <t xml:space="preserve">Okres realizacji zadania, z uwagi na brak środków planowanych na rok 2009, został wydłużony o 1 rok, tj. do 2010r. , środki zaplanowanew w roku 2008 w wysokości 20 000 zł nie zostały wykorzystanie, w związku z tym zwiększa się o tę kwotę wydatki planowane w latach kolejnych. </t>
  </si>
  <si>
    <t>2.</t>
  </si>
  <si>
    <t>Rozbudowa sieci wodociągowej na terenie Kaźmierza:</t>
  </si>
  <si>
    <t>a)</t>
  </si>
  <si>
    <t>Sieć wodociągowa Kaźmierz, rej. ul. Polna - Reja</t>
  </si>
  <si>
    <t>2004-2009</t>
  </si>
  <si>
    <t>b)</t>
  </si>
  <si>
    <t>Sieć wodociągowa Kaźmierz, rej. ul. Szkolnej</t>
  </si>
  <si>
    <t>2004-2013</t>
  </si>
  <si>
    <t>c)</t>
  </si>
  <si>
    <t>Sieć wodociągowa w m. Kaźmierz rej.ul. Konopnickiej-Dolnej</t>
  </si>
  <si>
    <t>2006-2010</t>
  </si>
  <si>
    <t>d)</t>
  </si>
  <si>
    <t xml:space="preserve">Sieć wodociagowa Kaźmierz ul. Poznańska w kierunku do m. Brzezno </t>
  </si>
  <si>
    <t>2007-2011</t>
  </si>
  <si>
    <t>Okres realizacji zadania został wydłużony o 1 rok, tj. do roku 2011. Wydatki planowane w latach ubiegłych na rok 2009 nie mogą zostać zrealizowane z uwagi na brak środków i zostają przesunięte na rok 2010, natomiast wydatki z roku 2010 na 2011.</t>
  </si>
  <si>
    <t>3.</t>
  </si>
  <si>
    <t xml:space="preserve">Sieć wodociągowa Radzyny rej. ul. Krańcowej I, II, III </t>
  </si>
  <si>
    <t>4.</t>
  </si>
  <si>
    <t>Sieć wodociągowa w Kopaninie</t>
  </si>
  <si>
    <t>5.</t>
  </si>
  <si>
    <t>Sieć wodociągowa Radzyny - Chrusty</t>
  </si>
  <si>
    <t>6.</t>
  </si>
  <si>
    <t>2008-2009</t>
  </si>
  <si>
    <t xml:space="preserve">Ze środków w wysokości 110 000,00 zł zaplanowanych w roku 2008 została wykorzystana kwota 20 000,00 zł. W związku z powyższym kwota 90 000,00 zostaje zaplanowana w roku 2009 i tym samym zadanie staje się zadaniem wieloletnim. </t>
  </si>
  <si>
    <t>7.</t>
  </si>
  <si>
    <t>Rozbudowa oczyszczalni ścieków w Kiaczynie wraz z siecią kanalizacji sanitarnej (tzw. układ Kaźmierz - Kiączyn)</t>
  </si>
  <si>
    <t>Z kwoty 5 710 000,00 zł zaplanowanej wcześniej na rok 2009 pozostaje kwota 145 000,00 zł przeznaczona na przygotowanie wniosku do II etapu konkursu na pozyskanie środków z UE. Pozostała kwota zostaje przesunięta na lata kolejne, ponieważ rozstrzygnięcie konkursów planowane jest dopiero na rok 2010.</t>
  </si>
  <si>
    <t>Zmiana nazwy dostosowana do nazwy doumentacji projektowej i zawartej w budżecie na rok 2009.</t>
  </si>
  <si>
    <t>8.</t>
  </si>
  <si>
    <t>Budowa kanalizacji sanitarnej w Gaju Wielkim (z przerzutem do Rumianka)</t>
  </si>
  <si>
    <t>2011-2012</t>
  </si>
  <si>
    <t>9.</t>
  </si>
  <si>
    <t>Przebudowa płyty Rynku w Kaźmierzu</t>
  </si>
  <si>
    <t>2004-2010</t>
  </si>
  <si>
    <t>Okres realizacji zadania został wydłużony o 1 rok, tj do 2010r., z uwagi na brak wystarczających środków w roku 2009. Środki zaplanowane w roku 2008 w kwocie 90 000,00 zł nie zostały wykorzystane w całości, pozostała kwota planowana jest na lata kolejne.</t>
  </si>
  <si>
    <t>10.</t>
  </si>
  <si>
    <t>Budowa punktu widokowego w Radzynach ze ścieżką rowerową i infrastrukturą</t>
  </si>
  <si>
    <t>11.</t>
  </si>
  <si>
    <t>Budowa punktu widokowego w Komorowie z infrastrukturą</t>
  </si>
  <si>
    <t>12.</t>
  </si>
  <si>
    <t>Budowa drogi dojazdowej do gruntów rolnych Kopanina</t>
  </si>
  <si>
    <t xml:space="preserve">Z uwagi na brak środków w roku 2009 planowane zadanie przesuwa się w czasie na rok 2010. </t>
  </si>
  <si>
    <t>13.</t>
  </si>
  <si>
    <t>Budowa drogi dojazdowej do gruntów rolnych Witkowice  - Gorszewice</t>
  </si>
  <si>
    <t xml:space="preserve">Z uwagi na brak środków w roku 2010 planowane zadanie przesuwa się w czasie na rok 2011. </t>
  </si>
  <si>
    <t>14.</t>
  </si>
  <si>
    <t>Przebudowa ul Okrężnej w Kaźmierzu</t>
  </si>
  <si>
    <t>2008-2010</t>
  </si>
  <si>
    <t xml:space="preserve">Z uwagi na brak środków w roku 2009 planowane środki zostają przesunięte na rok 2010. Środki niewykorzystane w 2008r. w wysokości 172 237,80 zł planuje się wydatkować w roku 2010. </t>
  </si>
  <si>
    <t>15.</t>
  </si>
  <si>
    <t>Budowa drogi dojazdowej do gruntów rolnych Chlewiska-Dolne Pole</t>
  </si>
  <si>
    <t>16.</t>
  </si>
  <si>
    <t>Przebudowa drogi gminnej w Gorszewicach</t>
  </si>
  <si>
    <t>2010-2011</t>
  </si>
  <si>
    <t xml:space="preserve">Z uwagi na brak środków w roku 2009 planowane zadanie przesuwa się w czasie na lata 2010-2011. </t>
  </si>
  <si>
    <t>17.</t>
  </si>
  <si>
    <t>Przebudowa drogi gminnej do Sierpówka</t>
  </si>
  <si>
    <t>18.</t>
  </si>
  <si>
    <t>Oświetlenie uliczne w Komorowie</t>
  </si>
  <si>
    <t xml:space="preserve">Z uwagi na brak wystarczających środków w roku 2009 okres realizacji zadania został wydlużony do roku 2010. </t>
  </si>
  <si>
    <t>19.</t>
  </si>
  <si>
    <t xml:space="preserve">Oświetlenie dróg osiedlowych rejon ul. Konopnickiej i Dolnej </t>
  </si>
  <si>
    <t>2009-2010</t>
  </si>
  <si>
    <t>Oświetlenie dróg osiedlowych w rejonie ulic Szamotulska - Cisowa  w Kaźmierzu</t>
  </si>
  <si>
    <t>Rezygnuje się z wykonania zadania w latach 2010-2011</t>
  </si>
  <si>
    <t>20.</t>
  </si>
  <si>
    <t xml:space="preserve">Rozbudowa budynku administracyjnego Urzędu Gminy w Kaźmierzu z uwzględnieniem dostosowania budynku dla osób niepełnosprawnych </t>
  </si>
  <si>
    <t xml:space="preserve">Z uwagi na brak wystarczających środków w roku 2009 okres realizacji zadania został wydlużony do roku 2011. </t>
  </si>
  <si>
    <t>21.</t>
  </si>
  <si>
    <t xml:space="preserve">Budowa centrum rekreacyjno - sportowego w rejonie ul. Leśnej w Kaźmierzu </t>
  </si>
  <si>
    <t>2008-2011</t>
  </si>
  <si>
    <t>22.</t>
  </si>
  <si>
    <t xml:space="preserve">Powyższe zadanie zostało wprowadzone w miejsce zadania pn "Budowa boiska ze sztuczną nawierzchnią przy szkole podstawowej w Kaźmierzu". </t>
  </si>
  <si>
    <t>23.</t>
  </si>
  <si>
    <t>Gminny ośrodek sportu i rekreracji w Radzynach</t>
  </si>
  <si>
    <t>2011-2013</t>
  </si>
  <si>
    <t>24.</t>
  </si>
  <si>
    <t>2008 - 2010</t>
  </si>
  <si>
    <t>25.</t>
  </si>
  <si>
    <t>26.</t>
  </si>
  <si>
    <t>Budowa kotłowni gazowej w budynku Ośrodka Zdrowia w Kaźmierzu</t>
  </si>
  <si>
    <t>27.</t>
  </si>
  <si>
    <t>Budowa placów zabaw</t>
  </si>
  <si>
    <t>28.</t>
  </si>
  <si>
    <t>Budowa systemu ogrzewania świetlicy w Gaju Wielkim wraz z jej wyposażeniem i infrastrukturą towarzyszącą.</t>
  </si>
  <si>
    <t xml:space="preserve">Zadanie to w budżecie roku 2008 funkcjonowało pod nazwą "Budowa kotłowni gazowej z siecią centralnego ogrzewania w budynku świetlicy wiejskiej w Gaju Wielkim" </t>
  </si>
  <si>
    <t>Zał.Nr 1 do Uchwału Nr XXXVII/196/09 Rady Gminy Kaźmierz z dnia 28.04.2009 r.</t>
  </si>
  <si>
    <t>Sprzedaż sprzętu i wyposażenia medycznego</t>
  </si>
  <si>
    <t>Wybory do Parlamentu Europejskiego</t>
  </si>
  <si>
    <t>Dotacja Krajowego Biura Wyborczego na przeprowadzenie Wyborów do Parlamentu Europejskiego w 2009 (pismo Krajowego Biura Wyborczego znak DPL 3101-11/09 z dnia 03.04.2009r.)</t>
  </si>
  <si>
    <t>Zwiększenie dochodów z tytułu udziału Gminy w podatku dochodowym od osób prawnych</t>
  </si>
  <si>
    <t>Świadczenia rodzinne, świadczenia z funduszu alimentacyjnego oraz składki na ubezpieczenia emerytalne i rentowe z ubezpieczenia społecznego</t>
  </si>
  <si>
    <t>Dotacja celowa na wypłatę dodatków w wysokości 250zł miesięcznie na pracownika socjalnego (pismo Wojewody Wielkopolskiego znak FB.I-6.3011-60/09 z dn.20.04.2009r.)</t>
  </si>
  <si>
    <t>Obiekty sportowe</t>
  </si>
  <si>
    <t>Przeniesienie z rozdziału 92605 dot.zadania pn."Moje Boisko-Orlik 2012"</t>
  </si>
  <si>
    <t>Dotacja celowa z Ministerstwa Sportu i Turystyki na realizację zadania pn."Moje Boisko-Orlik 2012" (pismo Ministra Sportu i Turystyki , znak DIS/61620/MC/09 z dnia 23.04.2009r.)</t>
  </si>
  <si>
    <t>Przeniesienie do rozdziału 92601</t>
  </si>
  <si>
    <t>Zał.Nr 2 do Uchwału Nr XXXVII/196/09 Rady Gminy Kaźmierz z dnia 28.04.2009 r.</t>
  </si>
  <si>
    <t>Zmniejszenie środków na zadanie pn.Budowa stacji wodociągowej w Gaju Wielkim.</t>
  </si>
  <si>
    <t>Środki na zakup nieruchomości i wykup dróg</t>
  </si>
  <si>
    <t>Środki na organizację wyborów do Parlamentu Europejskiego</t>
  </si>
  <si>
    <t>Środki dla OSP Kaźmierz na zakup samochodu pożarniczego z dotacją z Związku OSP RP</t>
  </si>
  <si>
    <t>Rezerwa celowa na zarządzanie kryzysowe</t>
  </si>
  <si>
    <t>Środki na wypłatę dodatków w wysokości 250zł miesięcznie na pracownika socjalnego zatrudnionego w pełnym wymiarze czasu pracy, realizującego pracę socjalną w środowisku w roku 2009.</t>
  </si>
  <si>
    <t>Przeniesienie z działu 92695 środków na zadanie pn. "Budowa kompleksu boisk wielofunkcyjnych Orlik 2012"</t>
  </si>
  <si>
    <t>Zał.Nr 3 do Uchwału Nr XXXVII/196/09 Rady Gminy Kaźmierz z dnia 28.04.2009 r.</t>
  </si>
  <si>
    <t>75113</t>
  </si>
  <si>
    <t>Zał.Nr 4 do Uchwału Nr XXXVII/196/09 Rady Gminy Kaźmierz z dnia 28.04.2009 r.</t>
  </si>
  <si>
    <t>Zał.Nr 5 do Uchwału Nr XXXVII/196/09 Rady Gminy Kaźmierz z dnia 28.04.2009 r.</t>
  </si>
  <si>
    <t>Plan wydatków majątkowych na 2009 r. po zmianach</t>
  </si>
  <si>
    <t>Zakup nieruchomości</t>
  </si>
  <si>
    <t>Zał.Nr 6 do Uchwału Nr XXXVII/196/09 Rady Gminy Kaźmierz z dnia 28.04.2009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</si>
</sst>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0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color indexed="12"/>
      <name val="Times New Roman CE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2"/>
      <color indexed="30"/>
      <name val="Times New Roman CE"/>
      <family val="1"/>
    </font>
    <font>
      <b/>
      <sz val="10"/>
      <color indexed="30"/>
      <name val="Times New Roman CE"/>
      <family val="1"/>
    </font>
    <font>
      <sz val="10"/>
      <color indexed="30"/>
      <name val="Times New Roman CE"/>
      <family val="1"/>
    </font>
    <font>
      <sz val="10"/>
      <color indexed="30"/>
      <name val="Times New Roman"/>
      <family val="1"/>
    </font>
    <font>
      <b/>
      <sz val="12"/>
      <color indexed="10"/>
      <name val="Times New Roman CE"/>
      <family val="1"/>
    </font>
    <font>
      <b/>
      <sz val="11"/>
      <color indexed="30"/>
      <name val="Times New Roman"/>
      <family val="1"/>
    </font>
    <font>
      <sz val="6"/>
      <name val="Arial"/>
      <family val="0"/>
    </font>
    <font>
      <b/>
      <sz val="6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Times New Roman"/>
      <family val="1"/>
    </font>
    <font>
      <sz val="10"/>
      <color rgb="FFFF0000"/>
      <name val="Times New Roman CE"/>
      <family val="1"/>
    </font>
    <font>
      <sz val="10"/>
      <color rgb="FFFF0000"/>
      <name val="Times New Roman"/>
      <family val="1"/>
    </font>
    <font>
      <b/>
      <sz val="12"/>
      <color rgb="FF0070C0"/>
      <name val="Times New Roman CE"/>
      <family val="1"/>
    </font>
    <font>
      <b/>
      <sz val="10"/>
      <color rgb="FF0070C0"/>
      <name val="Times New Roman CE"/>
      <family val="1"/>
    </font>
    <font>
      <b/>
      <sz val="10"/>
      <color rgb="FFFF0000"/>
      <name val="Times New Roman CE"/>
      <family val="1"/>
    </font>
    <font>
      <sz val="10"/>
      <color rgb="FF0070C0"/>
      <name val="Times New Roman CE"/>
      <family val="1"/>
    </font>
    <font>
      <b/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2"/>
      <color rgb="FFFF0000"/>
      <name val="Times New Roman CE"/>
      <family val="1"/>
    </font>
    <font>
      <b/>
      <sz val="11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quotePrefix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center" vertical="center" wrapText="1"/>
    </xf>
    <xf numFmtId="4" fontId="14" fillId="34" borderId="13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4" fontId="10" fillId="36" borderId="1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4" borderId="11" xfId="0" applyFont="1" applyFill="1" applyBorder="1" applyAlignment="1" quotePrefix="1">
      <alignment horizontal="center" vertical="center"/>
    </xf>
    <xf numFmtId="4" fontId="11" fillId="33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21" fillId="36" borderId="20" xfId="0" applyNumberFormat="1" applyFont="1" applyFill="1" applyBorder="1" applyAlignment="1">
      <alignment horizontal="center" vertical="center" wrapText="1"/>
    </xf>
    <xf numFmtId="4" fontId="13" fillId="36" borderId="20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vertical="center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0" fillId="35" borderId="17" xfId="0" applyFont="1" applyFill="1" applyBorder="1" applyAlignment="1">
      <alignment vertical="center"/>
    </xf>
    <xf numFmtId="4" fontId="20" fillId="34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 wrapText="1"/>
    </xf>
    <xf numFmtId="4" fontId="20" fillId="34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4" fontId="19" fillId="0" borderId="21" xfId="0" applyNumberFormat="1" applyFont="1" applyBorder="1" applyAlignment="1">
      <alignment horizontal="left" vertical="center" wrapText="1"/>
    </xf>
    <xf numFmtId="4" fontId="19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79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right" vertical="center" wrapText="1"/>
    </xf>
    <xf numFmtId="4" fontId="81" fillId="0" borderId="1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83" fillId="33" borderId="10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Border="1" applyAlignment="1">
      <alignment horizontal="center" vertical="center" wrapText="1"/>
    </xf>
    <xf numFmtId="4" fontId="83" fillId="0" borderId="10" xfId="0" applyNumberFormat="1" applyFont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2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4" fontId="86" fillId="34" borderId="10" xfId="0" applyNumberFormat="1" applyFont="1" applyFill="1" applyBorder="1" applyAlignment="1">
      <alignment horizontal="center" vertical="center"/>
    </xf>
    <xf numFmtId="4" fontId="86" fillId="0" borderId="10" xfId="0" applyNumberFormat="1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left" vertical="center" wrapText="1"/>
    </xf>
    <xf numFmtId="4" fontId="19" fillId="0" borderId="14" xfId="0" applyNumberFormat="1" applyFont="1" applyBorder="1" applyAlignment="1">
      <alignment vertical="center" wrapText="1"/>
    </xf>
    <xf numFmtId="4" fontId="81" fillId="0" borderId="10" xfId="0" applyNumberFormat="1" applyFont="1" applyBorder="1" applyAlignment="1">
      <alignment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left" vertical="center" wrapText="1"/>
    </xf>
    <xf numFmtId="4" fontId="13" fillId="36" borderId="23" xfId="0" applyNumberFormat="1" applyFont="1" applyFill="1" applyBorder="1" applyAlignment="1">
      <alignment horizontal="center" vertical="center" wrapText="1"/>
    </xf>
    <xf numFmtId="4" fontId="13" fillId="36" borderId="10" xfId="0" applyNumberFormat="1" applyFont="1" applyFill="1" applyBorder="1" applyAlignment="1">
      <alignment horizontal="center" vertical="center" wrapText="1"/>
    </xf>
    <xf numFmtId="4" fontId="20" fillId="36" borderId="2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right" vertical="center"/>
    </xf>
    <xf numFmtId="0" fontId="26" fillId="38" borderId="17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0" fontId="2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28" xfId="0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4" fontId="85" fillId="0" borderId="1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5" fillId="39" borderId="29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6" fillId="35" borderId="15" xfId="0" applyFont="1" applyFill="1" applyBorder="1" applyAlignment="1" quotePrefix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4" fontId="3" fillId="35" borderId="13" xfId="0" applyNumberFormat="1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 quotePrefix="1">
      <alignment horizontal="right"/>
    </xf>
    <xf numFmtId="4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 quotePrefix="1">
      <alignment/>
    </xf>
    <xf numFmtId="10" fontId="28" fillId="0" borderId="0" xfId="0" applyNumberFormat="1" applyFont="1" applyAlignment="1">
      <alignment/>
    </xf>
    <xf numFmtId="10" fontId="0" fillId="0" borderId="0" xfId="0" applyNumberFormat="1" applyAlignment="1">
      <alignment/>
    </xf>
    <xf numFmtId="4" fontId="79" fillId="34" borderId="10" xfId="0" applyNumberFormat="1" applyFont="1" applyFill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87" fillId="0" borderId="10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left"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4" fontId="27" fillId="34" borderId="29" xfId="0" applyNumberFormat="1" applyFont="1" applyFill="1" applyBorder="1" applyAlignment="1">
      <alignment horizontal="center" vertical="center" wrapText="1"/>
    </xf>
    <xf numFmtId="4" fontId="27" fillId="34" borderId="2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5" fillId="0" borderId="0" xfId="0" applyFont="1" applyAlignment="1">
      <alignment horizontal="right" vertical="center"/>
    </xf>
    <xf numFmtId="0" fontId="82" fillId="0" borderId="17" xfId="0" applyFont="1" applyBorder="1" applyAlignment="1">
      <alignment horizontal="center" vertical="center" wrapText="1"/>
    </xf>
    <xf numFmtId="4" fontId="83" fillId="33" borderId="10" xfId="0" applyNumberFormat="1" applyFont="1" applyFill="1" applyBorder="1" applyAlignment="1">
      <alignment horizontal="center" vertical="center"/>
    </xf>
    <xf numFmtId="4" fontId="83" fillId="0" borderId="10" xfId="0" applyNumberFormat="1" applyFont="1" applyFill="1" applyBorder="1" applyAlignment="1">
      <alignment horizontal="center" vertical="center"/>
    </xf>
    <xf numFmtId="4" fontId="85" fillId="0" borderId="10" xfId="0" applyNumberFormat="1" applyFont="1" applyFill="1" applyBorder="1" applyAlignment="1">
      <alignment horizontal="right" vertical="center"/>
    </xf>
    <xf numFmtId="4" fontId="83" fillId="0" borderId="10" xfId="0" applyNumberFormat="1" applyFont="1" applyFill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85" fillId="0" borderId="0" xfId="0" applyFont="1" applyAlignment="1">
      <alignment horizontal="right" vertical="center" wrapText="1"/>
    </xf>
    <xf numFmtId="4" fontId="85" fillId="0" borderId="0" xfId="0" applyNumberFormat="1" applyFont="1" applyAlignment="1">
      <alignment horizontal="right" vertical="center" wrapText="1"/>
    </xf>
    <xf numFmtId="4" fontId="85" fillId="0" borderId="0" xfId="0" applyNumberFormat="1" applyFont="1" applyAlignment="1" quotePrefix="1">
      <alignment horizontal="right" vertical="center" wrapText="1"/>
    </xf>
    <xf numFmtId="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35" borderId="17" xfId="0" applyFont="1" applyFill="1" applyBorder="1" applyAlignment="1">
      <alignment horizontal="center" vertical="center"/>
    </xf>
    <xf numFmtId="4" fontId="87" fillId="0" borderId="10" xfId="0" applyNumberFormat="1" applyFont="1" applyFill="1" applyBorder="1" applyAlignment="1">
      <alignment horizontal="right" vertical="center" wrapText="1"/>
    </xf>
    <xf numFmtId="4" fontId="87" fillId="0" borderId="10" xfId="0" applyNumberFormat="1" applyFont="1" applyBorder="1" applyAlignment="1">
      <alignment vertical="center" wrapText="1"/>
    </xf>
    <xf numFmtId="4" fontId="87" fillId="0" borderId="15" xfId="0" applyNumberFormat="1" applyFont="1" applyBorder="1" applyAlignment="1">
      <alignment horizontal="right" vertical="center" wrapText="1"/>
    </xf>
    <xf numFmtId="4" fontId="79" fillId="36" borderId="23" xfId="0" applyNumberFormat="1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 vertical="center" wrapText="1"/>
    </xf>
    <xf numFmtId="0" fontId="87" fillId="0" borderId="0" xfId="0" applyFont="1" applyAlignment="1">
      <alignment vertical="center"/>
    </xf>
    <xf numFmtId="4" fontId="6" fillId="0" borderId="10" xfId="0" applyNumberFormat="1" applyFont="1" applyBorder="1" applyAlignment="1" quotePrefix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9" fillId="35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87" fillId="0" borderId="10" xfId="0" applyNumberFormat="1" applyFont="1" applyFill="1" applyBorder="1" applyAlignment="1">
      <alignment vertical="center" wrapText="1"/>
    </xf>
    <xf numFmtId="4" fontId="87" fillId="0" borderId="10" xfId="0" applyNumberFormat="1" applyFont="1" applyBorder="1" applyAlignment="1">
      <alignment horizontal="center" vertical="center" wrapText="1"/>
    </xf>
    <xf numFmtId="4" fontId="79" fillId="34" borderId="13" xfId="0" applyNumberFormat="1" applyFont="1" applyFill="1" applyBorder="1" applyAlignment="1">
      <alignment horizontal="center" vertical="center" wrapText="1"/>
    </xf>
    <xf numFmtId="4" fontId="87" fillId="0" borderId="14" xfId="0" applyNumberFormat="1" applyFont="1" applyBorder="1" applyAlignment="1">
      <alignment horizontal="center" vertical="center" wrapText="1"/>
    </xf>
    <xf numFmtId="4" fontId="87" fillId="0" borderId="14" xfId="0" applyNumberFormat="1" applyFont="1" applyBorder="1" applyAlignment="1">
      <alignment horizontal="right" vertical="center" wrapText="1"/>
    </xf>
    <xf numFmtId="4" fontId="86" fillId="0" borderId="10" xfId="0" applyNumberFormat="1" applyFont="1" applyBorder="1" applyAlignment="1">
      <alignment horizontal="right" vertical="center" wrapText="1"/>
    </xf>
    <xf numFmtId="4" fontId="79" fillId="36" borderId="10" xfId="0" applyNumberFormat="1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60" fillId="0" borderId="0" xfId="0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61" fillId="0" borderId="0" xfId="0" applyFont="1" applyFill="1" applyAlignment="1">
      <alignment/>
    </xf>
    <xf numFmtId="0" fontId="61" fillId="0" borderId="13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vertical="center" wrapText="1"/>
    </xf>
    <xf numFmtId="0" fontId="61" fillId="0" borderId="29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61" fillId="0" borderId="13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1" fillId="0" borderId="14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0" fillId="0" borderId="13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vertical="center"/>
    </xf>
    <xf numFmtId="4" fontId="61" fillId="0" borderId="13" xfId="0" applyNumberFormat="1" applyFont="1" applyFill="1" applyBorder="1" applyAlignment="1">
      <alignment vertical="center"/>
    </xf>
    <xf numFmtId="4" fontId="60" fillId="0" borderId="13" xfId="0" applyNumberFormat="1" applyFont="1" applyFill="1" applyBorder="1" applyAlignment="1">
      <alignment vertical="center"/>
    </xf>
    <xf numFmtId="4" fontId="60" fillId="0" borderId="0" xfId="0" applyNumberFormat="1" applyFont="1" applyFill="1" applyAlignment="1">
      <alignment horizontal="center" vertical="center"/>
    </xf>
    <xf numFmtId="4" fontId="60" fillId="0" borderId="13" xfId="0" applyNumberFormat="1" applyFont="1" applyFill="1" applyBorder="1" applyAlignment="1">
      <alignment vertical="center"/>
    </xf>
    <xf numFmtId="2" fontId="60" fillId="0" borderId="0" xfId="0" applyNumberFormat="1" applyFont="1" applyFill="1" applyAlignment="1">
      <alignment/>
    </xf>
    <xf numFmtId="0" fontId="60" fillId="0" borderId="29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0" fillId="0" borderId="14" xfId="0" applyFont="1" applyFill="1" applyBorder="1" applyAlignment="1">
      <alignment/>
    </xf>
    <xf numFmtId="0" fontId="60" fillId="0" borderId="14" xfId="0" applyFont="1" applyFill="1" applyBorder="1" applyAlignment="1">
      <alignment wrapText="1"/>
    </xf>
    <xf numFmtId="0" fontId="60" fillId="0" borderId="14" xfId="0" applyFont="1" applyFill="1" applyBorder="1" applyAlignment="1">
      <alignment horizontal="center" vertical="center"/>
    </xf>
    <xf numFmtId="4" fontId="61" fillId="0" borderId="14" xfId="0" applyNumberFormat="1" applyFont="1" applyFill="1" applyBorder="1" applyAlignment="1">
      <alignment vertical="center"/>
    </xf>
    <xf numFmtId="4" fontId="60" fillId="0" borderId="14" xfId="0" applyNumberFormat="1" applyFont="1" applyFill="1" applyBorder="1" applyAlignment="1">
      <alignment vertical="center"/>
    </xf>
    <xf numFmtId="4" fontId="60" fillId="0" borderId="14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vertical="center"/>
    </xf>
    <xf numFmtId="4" fontId="60" fillId="0" borderId="10" xfId="0" applyNumberFormat="1" applyFont="1" applyFill="1" applyBorder="1" applyAlignment="1">
      <alignment vertical="center"/>
    </xf>
    <xf numFmtId="4" fontId="60" fillId="0" borderId="10" xfId="0" applyNumberFormat="1" applyFont="1" applyFill="1" applyBorder="1" applyAlignment="1">
      <alignment vertical="center"/>
    </xf>
    <xf numFmtId="0" fontId="60" fillId="0" borderId="29" xfId="0" applyFont="1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28" xfId="0" applyBorder="1" applyAlignment="1">
      <alignment wrapText="1"/>
    </xf>
    <xf numFmtId="4" fontId="61" fillId="0" borderId="10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vertical="center" wrapText="1"/>
    </xf>
    <xf numFmtId="2" fontId="60" fillId="0" borderId="10" xfId="0" applyNumberFormat="1" applyFont="1" applyFill="1" applyBorder="1" applyAlignment="1">
      <alignment/>
    </xf>
    <xf numFmtId="0" fontId="60" fillId="0" borderId="29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60" fillId="0" borderId="0" xfId="0" applyFont="1" applyFill="1" applyAlignment="1">
      <alignment vertical="center"/>
    </xf>
    <xf numFmtId="4" fontId="60" fillId="0" borderId="14" xfId="0" applyNumberFormat="1" applyFont="1" applyFill="1" applyBorder="1" applyAlignment="1">
      <alignment/>
    </xf>
    <xf numFmtId="4" fontId="60" fillId="0" borderId="0" xfId="0" applyNumberFormat="1" applyFont="1" applyFill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&#380;et\Budzet%202009%20%20(Automatycznie%20zapisan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901"/>
      <sheetName val="902"/>
      <sheetName val="Zangażowanie I"/>
      <sheetName val="Zaangażowanie II"/>
      <sheetName val="Harmonogram spłat"/>
      <sheetName val="Zmiana D 25.03."/>
      <sheetName val="Zmiana D 28.04"/>
      <sheetName val="Dochody zał.Nr 1"/>
      <sheetName val="Zmiana W 25.03."/>
      <sheetName val="Zmiana W 28.04."/>
      <sheetName val="Wydatki zał.Nr 2"/>
      <sheetName val="Arkusz2"/>
      <sheetName val="Deficyt"/>
      <sheetName val="Dotacje Zał.Nr 3"/>
      <sheetName val="PRZROZ zał.Nr4"/>
      <sheetName val="Prognoza długu do zał.Nr4"/>
      <sheetName val="DO zał.Nr5"/>
      <sheetName val="GFOŚ zał.Nr6"/>
      <sheetName val="ZUK plan zał.Nr 7"/>
      <sheetName val="Inwestycje zał.nr 8"/>
      <sheetName val="WPI 25.03."/>
      <sheetName val="WPI 28.04."/>
      <sheetName val="WPI NI"/>
      <sheetName val="WPI zał.nr 9"/>
      <sheetName val="Doch.własnenr10"/>
      <sheetName val="Arkusz1"/>
      <sheetName val="Arkusz4"/>
      <sheetName val="Plan finansowy WUW"/>
      <sheetName val="porównanie"/>
      <sheetName val="zestawienie"/>
      <sheetName val="Roboczy"/>
      <sheetName val="Dni Kaźmierza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</sheetNames>
    <sheetDataSet>
      <sheetData sheetId="10">
        <row r="132">
          <cell r="H132">
            <v>465574</v>
          </cell>
          <cell r="I132">
            <v>0</v>
          </cell>
          <cell r="K132">
            <v>0</v>
          </cell>
        </row>
      </sheetData>
      <sheetData sheetId="13">
        <row r="385">
          <cell r="J385">
            <v>132574</v>
          </cell>
          <cell r="K385">
            <v>0</v>
          </cell>
          <cell r="M3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43"/>
  <sheetViews>
    <sheetView zoomScale="150" zoomScaleNormal="150" zoomScalePageLayoutView="0" workbookViewId="0" topLeftCell="E130">
      <selection activeCell="M148" sqref="M148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6.140625" style="21" customWidth="1"/>
    <col min="4" max="4" width="46.7109375" style="21" customWidth="1"/>
    <col min="5" max="5" width="16.28125" style="3" customWidth="1"/>
    <col min="6" max="6" width="14.28125" style="420" customWidth="1"/>
    <col min="7" max="11" width="13.421875" style="136" hidden="1" customWidth="1"/>
    <col min="12" max="12" width="6.8515625" style="136" hidden="1" customWidth="1"/>
    <col min="13" max="13" width="16.8515625" style="152" customWidth="1"/>
    <col min="14" max="14" width="32.421875" style="167" customWidth="1"/>
    <col min="15" max="16" width="9.140625" style="21" customWidth="1"/>
    <col min="17" max="16384" width="9.140625" style="21" customWidth="1"/>
  </cols>
  <sheetData>
    <row r="1" spans="1:14" ht="31.5">
      <c r="A1" s="19" t="s">
        <v>245</v>
      </c>
      <c r="B1" s="20"/>
      <c r="C1" s="20"/>
      <c r="E1" s="1"/>
      <c r="F1" s="418"/>
      <c r="G1" s="135"/>
      <c r="H1" s="135"/>
      <c r="I1" s="135"/>
      <c r="J1" s="135"/>
      <c r="K1" s="135"/>
      <c r="L1" s="135"/>
      <c r="M1" s="2"/>
      <c r="N1" s="419" t="s">
        <v>470</v>
      </c>
    </row>
    <row r="2" spans="1:13" ht="13.5" thickBot="1">
      <c r="A2" s="117"/>
      <c r="B2" s="20"/>
      <c r="C2" s="20"/>
      <c r="M2" s="2"/>
    </row>
    <row r="3" spans="1:14" s="105" customFormat="1" ht="42.75" customHeight="1">
      <c r="A3" s="227" t="s">
        <v>15</v>
      </c>
      <c r="B3" s="227" t="s">
        <v>16</v>
      </c>
      <c r="C3" s="227" t="s">
        <v>17</v>
      </c>
      <c r="D3" s="227" t="s">
        <v>18</v>
      </c>
      <c r="E3" s="168" t="s">
        <v>246</v>
      </c>
      <c r="F3" s="421" t="s">
        <v>19</v>
      </c>
      <c r="G3" s="228"/>
      <c r="H3" s="228"/>
      <c r="I3" s="228"/>
      <c r="J3" s="228" t="s">
        <v>8</v>
      </c>
      <c r="K3" s="228"/>
      <c r="L3" s="228"/>
      <c r="M3" s="169" t="s">
        <v>194</v>
      </c>
      <c r="N3" s="168" t="s">
        <v>20</v>
      </c>
    </row>
    <row r="4" spans="1:14" s="231" customFormat="1" ht="16.5" customHeight="1">
      <c r="A4" s="118"/>
      <c r="B4" s="118"/>
      <c r="C4" s="118"/>
      <c r="D4" s="118"/>
      <c r="E4" s="118"/>
      <c r="F4" s="229"/>
      <c r="G4" s="118"/>
      <c r="H4" s="118"/>
      <c r="I4" s="118"/>
      <c r="J4" s="118"/>
      <c r="K4" s="118"/>
      <c r="L4" s="118"/>
      <c r="M4" s="118"/>
      <c r="N4" s="230"/>
    </row>
    <row r="5" spans="1:14" s="2" customFormat="1" ht="16.5" customHeight="1" hidden="1">
      <c r="A5" s="170" t="s">
        <v>37</v>
      </c>
      <c r="B5" s="171"/>
      <c r="C5" s="171"/>
      <c r="D5" s="172" t="s">
        <v>38</v>
      </c>
      <c r="E5" s="173">
        <f>E6</f>
        <v>6500</v>
      </c>
      <c r="F5" s="422">
        <f>F6</f>
        <v>0</v>
      </c>
      <c r="G5" s="174">
        <f aca="true" t="shared" si="0" ref="G5:L5">G6</f>
        <v>0</v>
      </c>
      <c r="H5" s="174">
        <f t="shared" si="0"/>
        <v>0</v>
      </c>
      <c r="I5" s="174">
        <f t="shared" si="0"/>
        <v>0</v>
      </c>
      <c r="J5" s="174">
        <f t="shared" si="0"/>
        <v>0</v>
      </c>
      <c r="K5" s="174">
        <f t="shared" si="0"/>
        <v>0</v>
      </c>
      <c r="L5" s="174">
        <f t="shared" si="0"/>
        <v>0</v>
      </c>
      <c r="M5" s="173">
        <f>M6</f>
        <v>6500</v>
      </c>
      <c r="N5" s="175"/>
    </row>
    <row r="6" spans="1:14" s="2" customFormat="1" ht="15" customHeight="1" hidden="1">
      <c r="A6" s="176"/>
      <c r="B6" s="177" t="s">
        <v>45</v>
      </c>
      <c r="C6" s="7"/>
      <c r="D6" s="8" t="s">
        <v>34</v>
      </c>
      <c r="E6" s="178">
        <f>SUM(E7:E8)</f>
        <v>6500</v>
      </c>
      <c r="F6" s="423">
        <f>SUM(F7:F8)</f>
        <v>0</v>
      </c>
      <c r="G6" s="179">
        <f aca="true" t="shared" si="1" ref="G6:L6">SUM(G7:G8)</f>
        <v>0</v>
      </c>
      <c r="H6" s="179">
        <f t="shared" si="1"/>
        <v>0</v>
      </c>
      <c r="I6" s="179">
        <f t="shared" si="1"/>
        <v>0</v>
      </c>
      <c r="J6" s="179">
        <f t="shared" si="1"/>
        <v>0</v>
      </c>
      <c r="K6" s="179">
        <f t="shared" si="1"/>
        <v>0</v>
      </c>
      <c r="L6" s="179">
        <f t="shared" si="1"/>
        <v>0</v>
      </c>
      <c r="M6" s="144">
        <f>M7+M8</f>
        <v>6500</v>
      </c>
      <c r="N6" s="180"/>
    </row>
    <row r="7" spans="1:14" s="2" customFormat="1" ht="51" hidden="1">
      <c r="A7" s="176"/>
      <c r="B7" s="9"/>
      <c r="C7" s="10" t="s">
        <v>95</v>
      </c>
      <c r="D7" s="11" t="s">
        <v>96</v>
      </c>
      <c r="E7" s="181">
        <v>6500</v>
      </c>
      <c r="F7" s="424"/>
      <c r="G7" s="162"/>
      <c r="H7" s="162"/>
      <c r="I7" s="162"/>
      <c r="J7" s="162"/>
      <c r="K7" s="162"/>
      <c r="L7" s="162"/>
      <c r="M7" s="139">
        <f>E7+F7+G7+H7+I7+J7+K7+L7</f>
        <v>6500</v>
      </c>
      <c r="N7" s="232"/>
    </row>
    <row r="8" spans="1:14" s="2" customFormat="1" ht="54.75" customHeight="1" hidden="1">
      <c r="A8" s="176"/>
      <c r="B8" s="9"/>
      <c r="C8" s="9">
        <v>2010</v>
      </c>
      <c r="D8" s="11" t="s">
        <v>26</v>
      </c>
      <c r="E8" s="181"/>
      <c r="F8" s="424"/>
      <c r="G8" s="162"/>
      <c r="H8" s="162"/>
      <c r="I8" s="162"/>
      <c r="J8" s="162"/>
      <c r="K8" s="162"/>
      <c r="L8" s="162"/>
      <c r="M8" s="139">
        <f>E8+F8+G8+H8+I8+J8+K8+L8</f>
        <v>0</v>
      </c>
      <c r="N8" s="232"/>
    </row>
    <row r="9" spans="1:14" s="4" customFormat="1" ht="16.5" customHeight="1" hidden="1">
      <c r="A9" s="182">
        <v>600</v>
      </c>
      <c r="B9" s="182"/>
      <c r="C9" s="182"/>
      <c r="D9" s="183" t="s">
        <v>47</v>
      </c>
      <c r="E9" s="100">
        <f aca="true" t="shared" si="2" ref="E9:L10">E10</f>
        <v>0</v>
      </c>
      <c r="F9" s="233">
        <f t="shared" si="2"/>
        <v>0</v>
      </c>
      <c r="G9" s="140">
        <f t="shared" si="2"/>
        <v>0</v>
      </c>
      <c r="H9" s="140">
        <f>H12</f>
        <v>0</v>
      </c>
      <c r="I9" s="140">
        <f t="shared" si="2"/>
        <v>0</v>
      </c>
      <c r="J9" s="140">
        <f t="shared" si="2"/>
        <v>0</v>
      </c>
      <c r="K9" s="140">
        <f t="shared" si="2"/>
        <v>0</v>
      </c>
      <c r="L9" s="140">
        <f t="shared" si="2"/>
        <v>0</v>
      </c>
      <c r="M9" s="100">
        <f>M10+M12</f>
        <v>0</v>
      </c>
      <c r="N9" s="184"/>
    </row>
    <row r="10" spans="1:14" s="4" customFormat="1" ht="18" customHeight="1" hidden="1">
      <c r="A10" s="14"/>
      <c r="B10" s="14">
        <v>60014</v>
      </c>
      <c r="C10" s="14"/>
      <c r="D10" s="17" t="s">
        <v>48</v>
      </c>
      <c r="E10" s="113">
        <f>E11</f>
        <v>0</v>
      </c>
      <c r="F10" s="235">
        <f>F11</f>
        <v>0</v>
      </c>
      <c r="G10" s="112">
        <f t="shared" si="2"/>
        <v>0</v>
      </c>
      <c r="H10" s="112">
        <f t="shared" si="2"/>
        <v>0</v>
      </c>
      <c r="I10" s="112">
        <f t="shared" si="2"/>
        <v>0</v>
      </c>
      <c r="J10" s="112">
        <f t="shared" si="2"/>
        <v>0</v>
      </c>
      <c r="K10" s="112">
        <f t="shared" si="2"/>
        <v>0</v>
      </c>
      <c r="L10" s="112">
        <f t="shared" si="2"/>
        <v>0</v>
      </c>
      <c r="M10" s="142">
        <f>M11</f>
        <v>0</v>
      </c>
      <c r="N10" s="185"/>
    </row>
    <row r="11" spans="1:14" s="4" customFormat="1" ht="55.5" customHeight="1" hidden="1">
      <c r="A11" s="14"/>
      <c r="B11" s="14"/>
      <c r="C11" s="27">
        <v>6620</v>
      </c>
      <c r="D11" s="28" t="s">
        <v>195</v>
      </c>
      <c r="E11" s="106"/>
      <c r="F11" s="236"/>
      <c r="G11" s="138"/>
      <c r="H11" s="138"/>
      <c r="I11" s="138"/>
      <c r="J11" s="138"/>
      <c r="K11" s="138"/>
      <c r="L11" s="138"/>
      <c r="M11" s="139">
        <f>E11+F11+G11+H11+I11+J11+K11</f>
        <v>0</v>
      </c>
      <c r="N11" s="186"/>
    </row>
    <row r="12" spans="1:14" s="4" customFormat="1" ht="18" customHeight="1" hidden="1">
      <c r="A12" s="14"/>
      <c r="B12" s="14">
        <v>60016</v>
      </c>
      <c r="C12" s="14"/>
      <c r="D12" s="17" t="s">
        <v>51</v>
      </c>
      <c r="E12" s="113">
        <f>E14</f>
        <v>0</v>
      </c>
      <c r="F12" s="235">
        <f>F14</f>
        <v>0</v>
      </c>
      <c r="G12" s="112">
        <f aca="true" t="shared" si="3" ref="G12:L12">G14</f>
        <v>0</v>
      </c>
      <c r="H12" s="112">
        <f>H13</f>
        <v>0</v>
      </c>
      <c r="I12" s="112">
        <f t="shared" si="3"/>
        <v>0</v>
      </c>
      <c r="J12" s="112">
        <f t="shared" si="3"/>
        <v>0</v>
      </c>
      <c r="K12" s="112">
        <f t="shared" si="3"/>
        <v>0</v>
      </c>
      <c r="L12" s="112">
        <f t="shared" si="3"/>
        <v>0</v>
      </c>
      <c r="M12" s="142">
        <f>M14+M13</f>
        <v>0</v>
      </c>
      <c r="N12" s="185"/>
    </row>
    <row r="13" spans="1:14" s="4" customFormat="1" ht="58.5" customHeight="1" hidden="1">
      <c r="A13" s="14"/>
      <c r="B13" s="14"/>
      <c r="C13" s="27">
        <v>6260</v>
      </c>
      <c r="D13" s="28" t="s">
        <v>196</v>
      </c>
      <c r="E13" s="106"/>
      <c r="F13" s="236"/>
      <c r="G13" s="138"/>
      <c r="H13" s="138"/>
      <c r="I13" s="138"/>
      <c r="J13" s="138"/>
      <c r="K13" s="138"/>
      <c r="L13" s="138"/>
      <c r="M13" s="139">
        <f>E13+F13+G13+H13+I13+J13+K13+L13</f>
        <v>0</v>
      </c>
      <c r="N13" s="186"/>
    </row>
    <row r="14" spans="1:14" s="4" customFormat="1" ht="61.5" customHeight="1" hidden="1">
      <c r="A14" s="14"/>
      <c r="B14" s="14"/>
      <c r="C14" s="27">
        <v>6300</v>
      </c>
      <c r="D14" s="28" t="s">
        <v>176</v>
      </c>
      <c r="E14" s="106"/>
      <c r="F14" s="236"/>
      <c r="G14" s="138"/>
      <c r="H14" s="138"/>
      <c r="I14" s="138"/>
      <c r="J14" s="138"/>
      <c r="K14" s="138"/>
      <c r="L14" s="138"/>
      <c r="M14" s="139">
        <f>E14+F14+G14+H14+I14+J14+K14</f>
        <v>0</v>
      </c>
      <c r="N14" s="186"/>
    </row>
    <row r="15" spans="1:14" s="4" customFormat="1" ht="17.25" customHeight="1">
      <c r="A15" s="5">
        <v>700</v>
      </c>
      <c r="B15" s="5"/>
      <c r="C15" s="5"/>
      <c r="D15" s="6" t="s">
        <v>21</v>
      </c>
      <c r="E15" s="100">
        <f aca="true" t="shared" si="4" ref="E15:M15">E16</f>
        <v>539172</v>
      </c>
      <c r="F15" s="233">
        <f t="shared" si="4"/>
        <v>2300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0">
        <f t="shared" si="4"/>
        <v>0</v>
      </c>
      <c r="M15" s="100">
        <f t="shared" si="4"/>
        <v>541472</v>
      </c>
      <c r="N15" s="184"/>
    </row>
    <row r="16" spans="1:14" s="4" customFormat="1" ht="12.75">
      <c r="A16" s="7"/>
      <c r="B16" s="7">
        <v>70005</v>
      </c>
      <c r="C16" s="7"/>
      <c r="D16" s="8" t="s">
        <v>22</v>
      </c>
      <c r="E16" s="101">
        <f>SUM(E17:E22)</f>
        <v>539172</v>
      </c>
      <c r="F16" s="425">
        <f>SUM(F17:F22)</f>
        <v>2300</v>
      </c>
      <c r="G16" s="141">
        <f aca="true" t="shared" si="5" ref="G16:L16">SUM(G17:G22)</f>
        <v>0</v>
      </c>
      <c r="H16" s="141">
        <f t="shared" si="5"/>
        <v>0</v>
      </c>
      <c r="I16" s="141">
        <f t="shared" si="5"/>
        <v>0</v>
      </c>
      <c r="J16" s="141">
        <f t="shared" si="5"/>
        <v>0</v>
      </c>
      <c r="K16" s="141">
        <f t="shared" si="5"/>
        <v>0</v>
      </c>
      <c r="L16" s="141">
        <f t="shared" si="5"/>
        <v>0</v>
      </c>
      <c r="M16" s="142">
        <f>SUM(M17:M22)</f>
        <v>541472</v>
      </c>
      <c r="N16" s="187"/>
    </row>
    <row r="17" spans="1:14" s="4" customFormat="1" ht="25.5">
      <c r="A17" s="7"/>
      <c r="B17" s="9"/>
      <c r="C17" s="10" t="s">
        <v>97</v>
      </c>
      <c r="D17" s="11" t="s">
        <v>98</v>
      </c>
      <c r="E17" s="106">
        <v>99844</v>
      </c>
      <c r="F17" s="236"/>
      <c r="G17" s="138"/>
      <c r="H17" s="138"/>
      <c r="I17" s="138"/>
      <c r="J17" s="138"/>
      <c r="K17" s="138"/>
      <c r="L17" s="138"/>
      <c r="M17" s="139">
        <f aca="true" t="shared" si="6" ref="M17:M22">E17+F17+G17+H17+I17+J17+K17+L17</f>
        <v>99844</v>
      </c>
      <c r="N17" s="186"/>
    </row>
    <row r="18" spans="1:14" s="4" customFormat="1" ht="51">
      <c r="A18" s="7"/>
      <c r="B18" s="9"/>
      <c r="C18" s="10" t="s">
        <v>95</v>
      </c>
      <c r="D18" s="11" t="s">
        <v>96</v>
      </c>
      <c r="E18" s="106">
        <f>20815+1600+36000+9120+300+793</f>
        <v>68628</v>
      </c>
      <c r="F18" s="236"/>
      <c r="G18" s="138"/>
      <c r="H18" s="138"/>
      <c r="I18" s="138"/>
      <c r="J18" s="138"/>
      <c r="K18" s="138"/>
      <c r="L18" s="138"/>
      <c r="M18" s="139">
        <f t="shared" si="6"/>
        <v>68628</v>
      </c>
      <c r="N18" s="186"/>
    </row>
    <row r="19" spans="1:14" s="4" customFormat="1" ht="25.5">
      <c r="A19" s="7"/>
      <c r="B19" s="9"/>
      <c r="C19" s="10" t="s">
        <v>99</v>
      </c>
      <c r="D19" s="11" t="s">
        <v>100</v>
      </c>
      <c r="E19" s="106">
        <v>365600</v>
      </c>
      <c r="F19" s="236"/>
      <c r="G19" s="138"/>
      <c r="H19" s="138"/>
      <c r="I19" s="138"/>
      <c r="J19" s="138"/>
      <c r="K19" s="138"/>
      <c r="L19" s="138"/>
      <c r="M19" s="139">
        <f t="shared" si="6"/>
        <v>365600</v>
      </c>
      <c r="N19" s="186"/>
    </row>
    <row r="20" spans="1:14" s="4" customFormat="1" ht="12.75">
      <c r="A20" s="7"/>
      <c r="B20" s="9"/>
      <c r="C20" s="10" t="s">
        <v>238</v>
      </c>
      <c r="D20" s="11" t="s">
        <v>239</v>
      </c>
      <c r="E20" s="106"/>
      <c r="F20" s="236">
        <v>2300</v>
      </c>
      <c r="G20" s="138"/>
      <c r="H20" s="138"/>
      <c r="I20" s="138"/>
      <c r="J20" s="138"/>
      <c r="K20" s="138"/>
      <c r="L20" s="138"/>
      <c r="M20" s="139">
        <f t="shared" si="6"/>
        <v>2300</v>
      </c>
      <c r="N20" s="186" t="s">
        <v>471</v>
      </c>
    </row>
    <row r="21" spans="1:14" s="4" customFormat="1" ht="12.75">
      <c r="A21" s="7"/>
      <c r="B21" s="9"/>
      <c r="C21" s="10" t="s">
        <v>101</v>
      </c>
      <c r="D21" s="11" t="s">
        <v>102</v>
      </c>
      <c r="E21" s="106">
        <v>2500</v>
      </c>
      <c r="F21" s="236"/>
      <c r="G21" s="138"/>
      <c r="H21" s="138"/>
      <c r="I21" s="138"/>
      <c r="J21" s="138"/>
      <c r="K21" s="138"/>
      <c r="L21" s="138"/>
      <c r="M21" s="139">
        <f t="shared" si="6"/>
        <v>2500</v>
      </c>
      <c r="N21" s="186"/>
    </row>
    <row r="22" spans="1:14" s="4" customFormat="1" ht="12.75">
      <c r="A22" s="7"/>
      <c r="B22" s="9"/>
      <c r="C22" s="10" t="s">
        <v>23</v>
      </c>
      <c r="D22" s="11" t="s">
        <v>24</v>
      </c>
      <c r="E22" s="106">
        <v>2600</v>
      </c>
      <c r="F22" s="236"/>
      <c r="G22" s="138"/>
      <c r="H22" s="138"/>
      <c r="I22" s="138"/>
      <c r="J22" s="138"/>
      <c r="K22" s="138"/>
      <c r="L22" s="138"/>
      <c r="M22" s="139">
        <f t="shared" si="6"/>
        <v>2600</v>
      </c>
      <c r="N22" s="186"/>
    </row>
    <row r="23" spans="1:14" s="4" customFormat="1" ht="12.75" hidden="1">
      <c r="A23" s="5">
        <v>750</v>
      </c>
      <c r="B23" s="5"/>
      <c r="C23" s="5"/>
      <c r="D23" s="6" t="s">
        <v>25</v>
      </c>
      <c r="E23" s="100">
        <f>E24+E27</f>
        <v>244890</v>
      </c>
      <c r="F23" s="233">
        <f>F24+F27</f>
        <v>0</v>
      </c>
      <c r="G23" s="140">
        <f aca="true" t="shared" si="7" ref="G23:L23">G24+G27</f>
        <v>0</v>
      </c>
      <c r="H23" s="140">
        <f t="shared" si="7"/>
        <v>0</v>
      </c>
      <c r="I23" s="140">
        <f t="shared" si="7"/>
        <v>0</v>
      </c>
      <c r="J23" s="140">
        <f t="shared" si="7"/>
        <v>0</v>
      </c>
      <c r="K23" s="140">
        <f t="shared" si="7"/>
        <v>0</v>
      </c>
      <c r="L23" s="140">
        <f t="shared" si="7"/>
        <v>0</v>
      </c>
      <c r="M23" s="100">
        <f>M24+M27</f>
        <v>244890</v>
      </c>
      <c r="N23" s="184"/>
    </row>
    <row r="24" spans="1:14" s="4" customFormat="1" ht="16.5" customHeight="1" hidden="1">
      <c r="A24" s="7"/>
      <c r="B24" s="7">
        <v>75011</v>
      </c>
      <c r="C24" s="7"/>
      <c r="D24" s="8" t="s">
        <v>143</v>
      </c>
      <c r="E24" s="113">
        <f>SUM(E25:E26)</f>
        <v>59000</v>
      </c>
      <c r="F24" s="235">
        <f>SUM(F25:F26)</f>
        <v>0</v>
      </c>
      <c r="G24" s="112">
        <f aca="true" t="shared" si="8" ref="G24:L24">SUM(G25:G26)</f>
        <v>0</v>
      </c>
      <c r="H24" s="112">
        <f t="shared" si="8"/>
        <v>0</v>
      </c>
      <c r="I24" s="112">
        <f t="shared" si="8"/>
        <v>0</v>
      </c>
      <c r="J24" s="112">
        <f t="shared" si="8"/>
        <v>0</v>
      </c>
      <c r="K24" s="112">
        <f t="shared" si="8"/>
        <v>0</v>
      </c>
      <c r="L24" s="112">
        <f t="shared" si="8"/>
        <v>0</v>
      </c>
      <c r="M24" s="142">
        <f>SUM(M25:M26)</f>
        <v>59000</v>
      </c>
      <c r="N24" s="185"/>
    </row>
    <row r="25" spans="1:14" s="4" customFormat="1" ht="38.25" hidden="1">
      <c r="A25" s="7"/>
      <c r="B25" s="9"/>
      <c r="C25" s="9">
        <v>2010</v>
      </c>
      <c r="D25" s="11" t="s">
        <v>26</v>
      </c>
      <c r="E25" s="106">
        <v>58100</v>
      </c>
      <c r="F25" s="236"/>
      <c r="G25" s="138"/>
      <c r="H25" s="138"/>
      <c r="I25" s="138"/>
      <c r="J25" s="138"/>
      <c r="K25" s="138"/>
      <c r="L25" s="138"/>
      <c r="M25" s="139">
        <f>E25+F25+G25+H25+I25+J25+K25+L25</f>
        <v>58100</v>
      </c>
      <c r="N25" s="186"/>
    </row>
    <row r="26" spans="1:14" s="4" customFormat="1" ht="38.25" hidden="1">
      <c r="A26" s="7"/>
      <c r="B26" s="9"/>
      <c r="C26" s="9">
        <v>2360</v>
      </c>
      <c r="D26" s="11" t="s">
        <v>158</v>
      </c>
      <c r="E26" s="106">
        <v>900</v>
      </c>
      <c r="F26" s="236"/>
      <c r="G26" s="138"/>
      <c r="H26" s="138"/>
      <c r="I26" s="138"/>
      <c r="J26" s="138"/>
      <c r="K26" s="138"/>
      <c r="L26" s="138"/>
      <c r="M26" s="139">
        <f>E26+F26+G26+H26+I26+J26+K26+L26</f>
        <v>900</v>
      </c>
      <c r="N26" s="186"/>
    </row>
    <row r="27" spans="1:14" s="4" customFormat="1" ht="16.5" customHeight="1" hidden="1">
      <c r="A27" s="7"/>
      <c r="B27" s="7">
        <v>75023</v>
      </c>
      <c r="C27" s="7"/>
      <c r="D27" s="8" t="s">
        <v>27</v>
      </c>
      <c r="E27" s="113">
        <f>SUM(E28:E30)</f>
        <v>185890</v>
      </c>
      <c r="F27" s="235">
        <f>SUM(F28:F30)</f>
        <v>0</v>
      </c>
      <c r="G27" s="112">
        <f aca="true" t="shared" si="9" ref="G27:L27">SUM(G28:G28)</f>
        <v>0</v>
      </c>
      <c r="H27" s="112">
        <f t="shared" si="9"/>
        <v>0</v>
      </c>
      <c r="I27" s="112">
        <f t="shared" si="9"/>
        <v>0</v>
      </c>
      <c r="J27" s="112">
        <f t="shared" si="9"/>
        <v>0</v>
      </c>
      <c r="K27" s="112">
        <f t="shared" si="9"/>
        <v>0</v>
      </c>
      <c r="L27" s="112">
        <f t="shared" si="9"/>
        <v>0</v>
      </c>
      <c r="M27" s="142">
        <f>SUM(M28:M30)</f>
        <v>185890</v>
      </c>
      <c r="N27" s="185"/>
    </row>
    <row r="28" spans="1:14" s="4" customFormat="1" ht="12.75" hidden="1">
      <c r="A28" s="9"/>
      <c r="B28" s="9"/>
      <c r="C28" s="10" t="s">
        <v>0</v>
      </c>
      <c r="D28" s="11" t="s">
        <v>1</v>
      </c>
      <c r="E28" s="106">
        <f>3000+10000</f>
        <v>13000</v>
      </c>
      <c r="F28" s="236"/>
      <c r="G28" s="138"/>
      <c r="H28" s="138"/>
      <c r="I28" s="138"/>
      <c r="J28" s="138"/>
      <c r="K28" s="138"/>
      <c r="L28" s="138"/>
      <c r="M28" s="139">
        <f>E28+F28+G28+H28+I28+J28+K28+L28</f>
        <v>13000</v>
      </c>
      <c r="N28" s="186"/>
    </row>
    <row r="29" spans="1:14" s="4" customFormat="1" ht="12.75" hidden="1">
      <c r="A29" s="9"/>
      <c r="B29" s="9"/>
      <c r="C29" s="10" t="s">
        <v>240</v>
      </c>
      <c r="D29" s="11" t="s">
        <v>241</v>
      </c>
      <c r="E29" s="106">
        <v>169390</v>
      </c>
      <c r="F29" s="236"/>
      <c r="G29" s="138"/>
      <c r="H29" s="138"/>
      <c r="I29" s="138"/>
      <c r="J29" s="138"/>
      <c r="K29" s="138"/>
      <c r="L29" s="138"/>
      <c r="M29" s="139">
        <f>E29+F29+G29+H29+I29+J29+K29+L29</f>
        <v>169390</v>
      </c>
      <c r="N29" s="186"/>
    </row>
    <row r="30" spans="1:14" s="4" customFormat="1" ht="12.75" hidden="1">
      <c r="A30" s="9"/>
      <c r="B30" s="9"/>
      <c r="C30" s="10" t="s">
        <v>93</v>
      </c>
      <c r="D30" s="11" t="s">
        <v>94</v>
      </c>
      <c r="E30" s="106">
        <v>3500</v>
      </c>
      <c r="F30" s="236"/>
      <c r="G30" s="138"/>
      <c r="H30" s="138"/>
      <c r="I30" s="138"/>
      <c r="J30" s="138"/>
      <c r="K30" s="138"/>
      <c r="L30" s="138"/>
      <c r="M30" s="139">
        <f>E30+F30+G30+H30+I30+J30+K30+L30</f>
        <v>3500</v>
      </c>
      <c r="N30" s="186"/>
    </row>
    <row r="31" spans="1:14" s="4" customFormat="1" ht="25.5">
      <c r="A31" s="5">
        <v>751</v>
      </c>
      <c r="B31" s="188"/>
      <c r="C31" s="188"/>
      <c r="D31" s="6" t="s">
        <v>197</v>
      </c>
      <c r="E31" s="100">
        <f>E32+E34+E36</f>
        <v>1150</v>
      </c>
      <c r="F31" s="233">
        <f>F32+F34+F36</f>
        <v>5924</v>
      </c>
      <c r="G31" s="140">
        <f aca="true" t="shared" si="10" ref="G31:L31">G32+G34+G36</f>
        <v>0</v>
      </c>
      <c r="H31" s="140">
        <f t="shared" si="10"/>
        <v>0</v>
      </c>
      <c r="I31" s="140">
        <f t="shared" si="10"/>
        <v>0</v>
      </c>
      <c r="J31" s="140">
        <f t="shared" si="10"/>
        <v>0</v>
      </c>
      <c r="K31" s="140">
        <f t="shared" si="10"/>
        <v>0</v>
      </c>
      <c r="L31" s="140">
        <f t="shared" si="10"/>
        <v>0</v>
      </c>
      <c r="M31" s="100">
        <f>M32+M34+M36</f>
        <v>7074</v>
      </c>
      <c r="N31" s="184"/>
    </row>
    <row r="32" spans="1:14" s="110" customFormat="1" ht="25.5">
      <c r="A32" s="12"/>
      <c r="B32" s="12">
        <v>75101</v>
      </c>
      <c r="C32" s="12"/>
      <c r="D32" s="102" t="s">
        <v>198</v>
      </c>
      <c r="E32" s="101">
        <f aca="true" t="shared" si="11" ref="E32:L32">E33</f>
        <v>1150</v>
      </c>
      <c r="F32" s="425">
        <f t="shared" si="11"/>
        <v>0</v>
      </c>
      <c r="G32" s="141">
        <f t="shared" si="11"/>
        <v>0</v>
      </c>
      <c r="H32" s="141">
        <f t="shared" si="11"/>
        <v>0</v>
      </c>
      <c r="I32" s="141">
        <f t="shared" si="11"/>
        <v>0</v>
      </c>
      <c r="J32" s="141">
        <f t="shared" si="11"/>
        <v>0</v>
      </c>
      <c r="K32" s="141">
        <f t="shared" si="11"/>
        <v>0</v>
      </c>
      <c r="L32" s="141">
        <f t="shared" si="11"/>
        <v>0</v>
      </c>
      <c r="M32" s="142">
        <f>M33</f>
        <v>1150</v>
      </c>
      <c r="N32" s="187"/>
    </row>
    <row r="33" spans="1:14" s="110" customFormat="1" ht="69" customHeight="1">
      <c r="A33" s="12"/>
      <c r="B33" s="103"/>
      <c r="C33" s="9">
        <v>2010</v>
      </c>
      <c r="D33" s="11" t="s">
        <v>26</v>
      </c>
      <c r="E33" s="114">
        <v>1150</v>
      </c>
      <c r="F33" s="426"/>
      <c r="G33" s="13"/>
      <c r="H33" s="13"/>
      <c r="I33" s="13"/>
      <c r="J33" s="13"/>
      <c r="K33" s="13"/>
      <c r="L33" s="13"/>
      <c r="M33" s="139">
        <f>E33+F33+G33+H33+I33+J33+K33+L33</f>
        <v>1150</v>
      </c>
      <c r="N33" s="189"/>
    </row>
    <row r="34" spans="1:14" s="110" customFormat="1" ht="19.5" customHeight="1">
      <c r="A34" s="12"/>
      <c r="B34" s="104">
        <v>75113</v>
      </c>
      <c r="C34" s="9"/>
      <c r="D34" s="18" t="s">
        <v>472</v>
      </c>
      <c r="E34" s="101">
        <f aca="true" t="shared" si="12" ref="E34:M34">E35</f>
        <v>0</v>
      </c>
      <c r="F34" s="425">
        <f t="shared" si="12"/>
        <v>5924</v>
      </c>
      <c r="G34" s="141">
        <f t="shared" si="12"/>
        <v>0</v>
      </c>
      <c r="H34" s="141">
        <f t="shared" si="12"/>
        <v>0</v>
      </c>
      <c r="I34" s="141">
        <f t="shared" si="12"/>
        <v>0</v>
      </c>
      <c r="J34" s="141">
        <f t="shared" si="12"/>
        <v>0</v>
      </c>
      <c r="K34" s="141">
        <f t="shared" si="12"/>
        <v>0</v>
      </c>
      <c r="L34" s="141">
        <f t="shared" si="12"/>
        <v>0</v>
      </c>
      <c r="M34" s="144">
        <f t="shared" si="12"/>
        <v>5924</v>
      </c>
      <c r="N34" s="187"/>
    </row>
    <row r="35" spans="1:14" s="110" customFormat="1" ht="69.75" customHeight="1">
      <c r="A35" s="12"/>
      <c r="B35" s="103"/>
      <c r="C35" s="9">
        <v>2010</v>
      </c>
      <c r="D35" s="11" t="s">
        <v>26</v>
      </c>
      <c r="E35" s="114"/>
      <c r="F35" s="426">
        <v>5924</v>
      </c>
      <c r="G35" s="13"/>
      <c r="H35" s="13"/>
      <c r="I35" s="13"/>
      <c r="J35" s="13"/>
      <c r="K35" s="13"/>
      <c r="L35" s="13"/>
      <c r="M35" s="139">
        <f>E35+F35+G35+H35+I35+J35+K35</f>
        <v>5924</v>
      </c>
      <c r="N35" s="189" t="s">
        <v>473</v>
      </c>
    </row>
    <row r="36" spans="1:14" s="110" customFormat="1" ht="12.75" customHeight="1" hidden="1">
      <c r="A36" s="12"/>
      <c r="B36" s="104">
        <v>75108</v>
      </c>
      <c r="C36" s="9"/>
      <c r="D36" s="18" t="s">
        <v>103</v>
      </c>
      <c r="E36" s="101">
        <f aca="true" t="shared" si="13" ref="E36:M36">E37</f>
        <v>0</v>
      </c>
      <c r="F36" s="425">
        <f t="shared" si="13"/>
        <v>0</v>
      </c>
      <c r="G36" s="141">
        <f t="shared" si="13"/>
        <v>0</v>
      </c>
      <c r="H36" s="141">
        <f t="shared" si="13"/>
        <v>0</v>
      </c>
      <c r="I36" s="141">
        <f t="shared" si="13"/>
        <v>0</v>
      </c>
      <c r="J36" s="141">
        <f t="shared" si="13"/>
        <v>0</v>
      </c>
      <c r="K36" s="141">
        <f t="shared" si="13"/>
        <v>0</v>
      </c>
      <c r="L36" s="141">
        <f t="shared" si="13"/>
        <v>0</v>
      </c>
      <c r="M36" s="144">
        <f t="shared" si="13"/>
        <v>0</v>
      </c>
      <c r="N36" s="187"/>
    </row>
    <row r="37" spans="1:14" s="110" customFormat="1" ht="51" customHeight="1" hidden="1">
      <c r="A37" s="12"/>
      <c r="B37" s="103"/>
      <c r="C37" s="9">
        <v>2010</v>
      </c>
      <c r="D37" s="11" t="s">
        <v>26</v>
      </c>
      <c r="E37" s="114"/>
      <c r="F37" s="426"/>
      <c r="G37" s="13"/>
      <c r="H37" s="13"/>
      <c r="I37" s="13"/>
      <c r="J37" s="13"/>
      <c r="K37" s="13"/>
      <c r="L37" s="13"/>
      <c r="M37" s="139">
        <f>E37+F37+G37+H37+I37+J37+K37+L37</f>
        <v>0</v>
      </c>
      <c r="N37" s="189"/>
    </row>
    <row r="38" spans="1:14" s="4" customFormat="1" ht="25.5" customHeight="1" hidden="1">
      <c r="A38" s="5">
        <v>754</v>
      </c>
      <c r="B38" s="5"/>
      <c r="C38" s="5"/>
      <c r="D38" s="6" t="s">
        <v>72</v>
      </c>
      <c r="E38" s="100">
        <f aca="true" t="shared" si="14" ref="E38:M38">E39</f>
        <v>0</v>
      </c>
      <c r="F38" s="233">
        <f t="shared" si="14"/>
        <v>0</v>
      </c>
      <c r="G38" s="140">
        <f t="shared" si="14"/>
        <v>0</v>
      </c>
      <c r="H38" s="140">
        <f t="shared" si="14"/>
        <v>0</v>
      </c>
      <c r="I38" s="140">
        <f t="shared" si="14"/>
        <v>0</v>
      </c>
      <c r="J38" s="140">
        <f t="shared" si="14"/>
        <v>0</v>
      </c>
      <c r="K38" s="140">
        <f t="shared" si="14"/>
        <v>0</v>
      </c>
      <c r="L38" s="140">
        <f t="shared" si="14"/>
        <v>0</v>
      </c>
      <c r="M38" s="100">
        <f t="shared" si="14"/>
        <v>0</v>
      </c>
      <c r="N38" s="184"/>
    </row>
    <row r="39" spans="1:14" s="4" customFormat="1" ht="16.5" customHeight="1" hidden="1">
      <c r="A39" s="7"/>
      <c r="B39" s="7">
        <v>75414</v>
      </c>
      <c r="C39" s="7"/>
      <c r="D39" s="8" t="s">
        <v>75</v>
      </c>
      <c r="E39" s="113">
        <f aca="true" t="shared" si="15" ref="E39:M39">SUM(E40)</f>
        <v>0</v>
      </c>
      <c r="F39" s="235">
        <f t="shared" si="15"/>
        <v>0</v>
      </c>
      <c r="G39" s="112">
        <f t="shared" si="15"/>
        <v>0</v>
      </c>
      <c r="H39" s="112">
        <f t="shared" si="15"/>
        <v>0</v>
      </c>
      <c r="I39" s="112">
        <f t="shared" si="15"/>
        <v>0</v>
      </c>
      <c r="J39" s="112">
        <f t="shared" si="15"/>
        <v>0</v>
      </c>
      <c r="K39" s="112">
        <f t="shared" si="15"/>
        <v>0</v>
      </c>
      <c r="L39" s="112">
        <f t="shared" si="15"/>
        <v>0</v>
      </c>
      <c r="M39" s="142">
        <f t="shared" si="15"/>
        <v>0</v>
      </c>
      <c r="N39" s="185"/>
    </row>
    <row r="40" spans="1:14" s="4" customFormat="1" ht="60.75" customHeight="1" hidden="1">
      <c r="A40" s="7"/>
      <c r="B40" s="9"/>
      <c r="C40" s="9">
        <v>2010</v>
      </c>
      <c r="D40" s="11" t="s">
        <v>26</v>
      </c>
      <c r="E40" s="106"/>
      <c r="F40" s="236"/>
      <c r="G40" s="138"/>
      <c r="H40" s="138"/>
      <c r="I40" s="138"/>
      <c r="J40" s="138"/>
      <c r="K40" s="138"/>
      <c r="L40" s="138"/>
      <c r="M40" s="139">
        <f>E40+F40+G40+H40+I40+J40+K40+L40</f>
        <v>0</v>
      </c>
      <c r="N40" s="186"/>
    </row>
    <row r="41" spans="1:14" s="4" customFormat="1" ht="38.25">
      <c r="A41" s="5">
        <v>756</v>
      </c>
      <c r="B41" s="5"/>
      <c r="C41" s="5"/>
      <c r="D41" s="6" t="s">
        <v>104</v>
      </c>
      <c r="E41" s="100">
        <f>E42+E53+E62+E68+E45</f>
        <v>8775189</v>
      </c>
      <c r="F41" s="233">
        <f aca="true" t="shared" si="16" ref="F41:M41">F42+F53+F62+F68+F45</f>
        <v>120000</v>
      </c>
      <c r="G41" s="140">
        <f t="shared" si="16"/>
        <v>0</v>
      </c>
      <c r="H41" s="140">
        <f t="shared" si="16"/>
        <v>0</v>
      </c>
      <c r="I41" s="140">
        <f t="shared" si="16"/>
        <v>0</v>
      </c>
      <c r="J41" s="140">
        <f t="shared" si="16"/>
        <v>0</v>
      </c>
      <c r="K41" s="140">
        <f t="shared" si="16"/>
        <v>0</v>
      </c>
      <c r="L41" s="140">
        <f t="shared" si="16"/>
        <v>0</v>
      </c>
      <c r="M41" s="100">
        <f t="shared" si="16"/>
        <v>8895189</v>
      </c>
      <c r="N41" s="184"/>
    </row>
    <row r="42" spans="1:14" s="110" customFormat="1" ht="12.75">
      <c r="A42" s="12"/>
      <c r="B42" s="12">
        <v>75601</v>
      </c>
      <c r="C42" s="12"/>
      <c r="D42" s="102" t="s">
        <v>105</v>
      </c>
      <c r="E42" s="101">
        <f>E43+E44</f>
        <v>4100</v>
      </c>
      <c r="F42" s="425">
        <f>F43+F44</f>
        <v>0</v>
      </c>
      <c r="G42" s="141">
        <f aca="true" t="shared" si="17" ref="G42:L42">G43+G44</f>
        <v>0</v>
      </c>
      <c r="H42" s="141">
        <f t="shared" si="17"/>
        <v>0</v>
      </c>
      <c r="I42" s="141">
        <f t="shared" si="17"/>
        <v>0</v>
      </c>
      <c r="J42" s="141">
        <f t="shared" si="17"/>
        <v>0</v>
      </c>
      <c r="K42" s="141">
        <f t="shared" si="17"/>
        <v>0</v>
      </c>
      <c r="L42" s="141">
        <f t="shared" si="17"/>
        <v>0</v>
      </c>
      <c r="M42" s="142">
        <f>SUM(M43:M44)</f>
        <v>4100</v>
      </c>
      <c r="N42" s="187"/>
    </row>
    <row r="43" spans="1:14" s="4" customFormat="1" ht="25.5">
      <c r="A43" s="7"/>
      <c r="B43" s="9"/>
      <c r="C43" s="10" t="s">
        <v>106</v>
      </c>
      <c r="D43" s="11" t="s">
        <v>107</v>
      </c>
      <c r="E43" s="106">
        <v>4000</v>
      </c>
      <c r="F43" s="236"/>
      <c r="G43" s="138"/>
      <c r="H43" s="138"/>
      <c r="I43" s="138"/>
      <c r="J43" s="138"/>
      <c r="K43" s="138"/>
      <c r="L43" s="138"/>
      <c r="M43" s="139">
        <f aca="true" t="shared" si="18" ref="M43:M70">E43+F43+G43+H43+I43+J43+K43+L43</f>
        <v>4000</v>
      </c>
      <c r="N43" s="186"/>
    </row>
    <row r="44" spans="1:14" s="4" customFormat="1" ht="12.75">
      <c r="A44" s="7"/>
      <c r="B44" s="9"/>
      <c r="C44" s="10" t="s">
        <v>101</v>
      </c>
      <c r="D44" s="11" t="s">
        <v>102</v>
      </c>
      <c r="E44" s="106">
        <v>100</v>
      </c>
      <c r="F44" s="236"/>
      <c r="G44" s="138"/>
      <c r="H44" s="138"/>
      <c r="I44" s="138"/>
      <c r="J44" s="138"/>
      <c r="K44" s="138"/>
      <c r="L44" s="138"/>
      <c r="M44" s="139">
        <f t="shared" si="18"/>
        <v>100</v>
      </c>
      <c r="N44" s="186"/>
    </row>
    <row r="45" spans="1:14" s="4" customFormat="1" ht="38.25">
      <c r="A45" s="7"/>
      <c r="B45" s="7">
        <v>75615</v>
      </c>
      <c r="C45" s="7"/>
      <c r="D45" s="8" t="s">
        <v>108</v>
      </c>
      <c r="E45" s="113">
        <f>SUM(E46:E51)</f>
        <v>2421222</v>
      </c>
      <c r="F45" s="235">
        <f>SUM(F46:F51)</f>
        <v>0</v>
      </c>
      <c r="G45" s="112">
        <f aca="true" t="shared" si="19" ref="G45:L45">SUM(G46:G51)</f>
        <v>0</v>
      </c>
      <c r="H45" s="112">
        <f>SUM(H46:H52)</f>
        <v>0</v>
      </c>
      <c r="I45" s="112">
        <f t="shared" si="19"/>
        <v>0</v>
      </c>
      <c r="J45" s="112">
        <f t="shared" si="19"/>
        <v>0</v>
      </c>
      <c r="K45" s="112">
        <f t="shared" si="19"/>
        <v>0</v>
      </c>
      <c r="L45" s="112">
        <f t="shared" si="19"/>
        <v>0</v>
      </c>
      <c r="M45" s="144">
        <f>SUM(M46:M52)</f>
        <v>2421222</v>
      </c>
      <c r="N45" s="185"/>
    </row>
    <row r="46" spans="1:14" s="4" customFormat="1" ht="12.75">
      <c r="A46" s="7"/>
      <c r="B46" s="9"/>
      <c r="C46" s="10" t="s">
        <v>109</v>
      </c>
      <c r="D46" s="11" t="s">
        <v>110</v>
      </c>
      <c r="E46" s="106">
        <v>1915241</v>
      </c>
      <c r="F46" s="236"/>
      <c r="G46" s="138"/>
      <c r="H46" s="138"/>
      <c r="I46" s="138"/>
      <c r="J46" s="138"/>
      <c r="K46" s="138"/>
      <c r="L46" s="138"/>
      <c r="M46" s="139">
        <f t="shared" si="18"/>
        <v>1915241</v>
      </c>
      <c r="N46" s="133"/>
    </row>
    <row r="47" spans="1:14" s="4" customFormat="1" ht="12.75">
      <c r="A47" s="7"/>
      <c r="B47" s="9"/>
      <c r="C47" s="10" t="s">
        <v>111</v>
      </c>
      <c r="D47" s="11" t="s">
        <v>112</v>
      </c>
      <c r="E47" s="106">
        <v>442350</v>
      </c>
      <c r="F47" s="236"/>
      <c r="G47" s="138"/>
      <c r="H47" s="138"/>
      <c r="I47" s="138"/>
      <c r="J47" s="138"/>
      <c r="K47" s="138"/>
      <c r="L47" s="138"/>
      <c r="M47" s="139">
        <f t="shared" si="18"/>
        <v>442350</v>
      </c>
      <c r="N47" s="133"/>
    </row>
    <row r="48" spans="1:14" s="4" customFormat="1" ht="12.75">
      <c r="A48" s="7"/>
      <c r="B48" s="9"/>
      <c r="C48" s="10" t="s">
        <v>113</v>
      </c>
      <c r="D48" s="11" t="s">
        <v>114</v>
      </c>
      <c r="E48" s="106">
        <v>38021</v>
      </c>
      <c r="F48" s="236"/>
      <c r="G48" s="138"/>
      <c r="H48" s="138"/>
      <c r="I48" s="138"/>
      <c r="J48" s="138"/>
      <c r="K48" s="138"/>
      <c r="L48" s="138"/>
      <c r="M48" s="139">
        <f t="shared" si="18"/>
        <v>38021</v>
      </c>
      <c r="N48" s="133"/>
    </row>
    <row r="49" spans="1:14" s="4" customFormat="1" ht="12.75">
      <c r="A49" s="7"/>
      <c r="B49" s="9"/>
      <c r="C49" s="10" t="s">
        <v>115</v>
      </c>
      <c r="D49" s="11" t="s">
        <v>116</v>
      </c>
      <c r="E49" s="106">
        <v>22610</v>
      </c>
      <c r="F49" s="236"/>
      <c r="G49" s="138"/>
      <c r="H49" s="138"/>
      <c r="I49" s="138"/>
      <c r="J49" s="138"/>
      <c r="K49" s="138"/>
      <c r="L49" s="138"/>
      <c r="M49" s="139">
        <f t="shared" si="18"/>
        <v>22610</v>
      </c>
      <c r="N49" s="186"/>
    </row>
    <row r="50" spans="1:14" s="4" customFormat="1" ht="12.75">
      <c r="A50" s="7"/>
      <c r="B50" s="9"/>
      <c r="C50" s="10" t="s">
        <v>117</v>
      </c>
      <c r="D50" s="11" t="s">
        <v>118</v>
      </c>
      <c r="E50" s="106">
        <v>1500</v>
      </c>
      <c r="F50" s="236"/>
      <c r="G50" s="138"/>
      <c r="H50" s="138"/>
      <c r="I50" s="138"/>
      <c r="J50" s="138"/>
      <c r="K50" s="138"/>
      <c r="L50" s="138"/>
      <c r="M50" s="139">
        <f t="shared" si="18"/>
        <v>1500</v>
      </c>
      <c r="N50" s="186"/>
    </row>
    <row r="51" spans="1:14" s="4" customFormat="1" ht="12.75">
      <c r="A51" s="7"/>
      <c r="B51" s="9"/>
      <c r="C51" s="10" t="s">
        <v>101</v>
      </c>
      <c r="D51" s="11" t="s">
        <v>102</v>
      </c>
      <c r="E51" s="106">
        <v>1500</v>
      </c>
      <c r="F51" s="236"/>
      <c r="G51" s="138"/>
      <c r="H51" s="138"/>
      <c r="I51" s="138"/>
      <c r="J51" s="138"/>
      <c r="K51" s="138"/>
      <c r="L51" s="138"/>
      <c r="M51" s="139">
        <f t="shared" si="18"/>
        <v>1500</v>
      </c>
      <c r="N51" s="186"/>
    </row>
    <row r="52" spans="1:14" s="4" customFormat="1" ht="27.75" customHeight="1">
      <c r="A52" s="7"/>
      <c r="B52" s="9"/>
      <c r="C52" s="10">
        <v>2680</v>
      </c>
      <c r="D52" s="11" t="s">
        <v>231</v>
      </c>
      <c r="E52" s="106"/>
      <c r="F52" s="236"/>
      <c r="G52" s="138"/>
      <c r="H52" s="138"/>
      <c r="I52" s="138"/>
      <c r="J52" s="138"/>
      <c r="K52" s="138"/>
      <c r="L52" s="138"/>
      <c r="M52" s="139">
        <f t="shared" si="18"/>
        <v>0</v>
      </c>
      <c r="N52" s="186"/>
    </row>
    <row r="53" spans="1:14" s="4" customFormat="1" ht="51">
      <c r="A53" s="7"/>
      <c r="B53" s="7">
        <v>75616</v>
      </c>
      <c r="C53" s="7"/>
      <c r="D53" s="8" t="s">
        <v>119</v>
      </c>
      <c r="E53" s="113">
        <f>SUM(E54:E61)</f>
        <v>1999250</v>
      </c>
      <c r="F53" s="235">
        <f>SUM(F54:F61)</f>
        <v>0</v>
      </c>
      <c r="G53" s="112">
        <f aca="true" t="shared" si="20" ref="G53:L53">SUM(G54:G61)</f>
        <v>0</v>
      </c>
      <c r="H53" s="112">
        <f t="shared" si="20"/>
        <v>0</v>
      </c>
      <c r="I53" s="112">
        <f t="shared" si="20"/>
        <v>0</v>
      </c>
      <c r="J53" s="112">
        <f t="shared" si="20"/>
        <v>0</v>
      </c>
      <c r="K53" s="112">
        <f t="shared" si="20"/>
        <v>0</v>
      </c>
      <c r="L53" s="112">
        <f t="shared" si="20"/>
        <v>0</v>
      </c>
      <c r="M53" s="142">
        <f>SUM(M54:M61)</f>
        <v>1999250</v>
      </c>
      <c r="N53" s="185"/>
    </row>
    <row r="54" spans="1:14" s="4" customFormat="1" ht="12.75">
      <c r="A54" s="7"/>
      <c r="B54" s="7"/>
      <c r="C54" s="10" t="s">
        <v>109</v>
      </c>
      <c r="D54" s="11" t="s">
        <v>110</v>
      </c>
      <c r="E54" s="106">
        <v>970005</v>
      </c>
      <c r="F54" s="236"/>
      <c r="G54" s="138"/>
      <c r="H54" s="138"/>
      <c r="I54" s="138"/>
      <c r="J54" s="138"/>
      <c r="K54" s="138"/>
      <c r="L54" s="138"/>
      <c r="M54" s="139">
        <f t="shared" si="18"/>
        <v>970005</v>
      </c>
      <c r="N54" s="133"/>
    </row>
    <row r="55" spans="1:14" s="4" customFormat="1" ht="12.75">
      <c r="A55" s="7"/>
      <c r="B55" s="7"/>
      <c r="C55" s="10" t="s">
        <v>111</v>
      </c>
      <c r="D55" s="11" t="s">
        <v>112</v>
      </c>
      <c r="E55" s="106">
        <v>594937</v>
      </c>
      <c r="F55" s="236"/>
      <c r="G55" s="138"/>
      <c r="H55" s="138"/>
      <c r="I55" s="138"/>
      <c r="J55" s="138"/>
      <c r="K55" s="138"/>
      <c r="L55" s="138"/>
      <c r="M55" s="139">
        <f t="shared" si="18"/>
        <v>594937</v>
      </c>
      <c r="N55" s="133"/>
    </row>
    <row r="56" spans="1:14" s="4" customFormat="1" ht="12.75">
      <c r="A56" s="7"/>
      <c r="B56" s="7"/>
      <c r="C56" s="10" t="s">
        <v>113</v>
      </c>
      <c r="D56" s="11" t="s">
        <v>114</v>
      </c>
      <c r="E56" s="106">
        <v>1588</v>
      </c>
      <c r="F56" s="236"/>
      <c r="G56" s="138"/>
      <c r="H56" s="138"/>
      <c r="I56" s="138"/>
      <c r="J56" s="138"/>
      <c r="K56" s="138"/>
      <c r="L56" s="138"/>
      <c r="M56" s="139">
        <f t="shared" si="18"/>
        <v>1588</v>
      </c>
      <c r="N56" s="133"/>
    </row>
    <row r="57" spans="1:14" s="4" customFormat="1" ht="12.75">
      <c r="A57" s="7"/>
      <c r="B57" s="7"/>
      <c r="C57" s="10" t="s">
        <v>115</v>
      </c>
      <c r="D57" s="11" t="s">
        <v>116</v>
      </c>
      <c r="E57" s="106">
        <v>97720</v>
      </c>
      <c r="F57" s="236"/>
      <c r="G57" s="138"/>
      <c r="H57" s="138"/>
      <c r="I57" s="138"/>
      <c r="J57" s="138"/>
      <c r="K57" s="138"/>
      <c r="L57" s="138"/>
      <c r="M57" s="139">
        <f t="shared" si="18"/>
        <v>97720</v>
      </c>
      <c r="N57" s="186"/>
    </row>
    <row r="58" spans="1:14" s="4" customFormat="1" ht="15" customHeight="1">
      <c r="A58" s="7"/>
      <c r="B58" s="9"/>
      <c r="C58" s="10" t="s">
        <v>120</v>
      </c>
      <c r="D58" s="11" t="s">
        <v>121</v>
      </c>
      <c r="E58" s="106">
        <v>7000</v>
      </c>
      <c r="F58" s="236"/>
      <c r="G58" s="138"/>
      <c r="H58" s="138"/>
      <c r="I58" s="138"/>
      <c r="J58" s="138"/>
      <c r="K58" s="138"/>
      <c r="L58" s="138"/>
      <c r="M58" s="139">
        <f t="shared" si="18"/>
        <v>7000</v>
      </c>
      <c r="N58" s="186"/>
    </row>
    <row r="59" spans="1:14" s="4" customFormat="1" ht="12.75">
      <c r="A59" s="7"/>
      <c r="B59" s="9"/>
      <c r="C59" s="10" t="s">
        <v>122</v>
      </c>
      <c r="D59" s="11" t="s">
        <v>123</v>
      </c>
      <c r="E59" s="106">
        <v>20000</v>
      </c>
      <c r="F59" s="236"/>
      <c r="G59" s="138"/>
      <c r="H59" s="138"/>
      <c r="I59" s="138"/>
      <c r="J59" s="138"/>
      <c r="K59" s="138"/>
      <c r="L59" s="138"/>
      <c r="M59" s="139">
        <f t="shared" si="18"/>
        <v>20000</v>
      </c>
      <c r="N59" s="186"/>
    </row>
    <row r="60" spans="1:14" s="4" customFormat="1" ht="12.75">
      <c r="A60" s="7"/>
      <c r="B60" s="9"/>
      <c r="C60" s="10" t="s">
        <v>117</v>
      </c>
      <c r="D60" s="11" t="s">
        <v>118</v>
      </c>
      <c r="E60" s="106">
        <v>300000</v>
      </c>
      <c r="F60" s="236"/>
      <c r="G60" s="138"/>
      <c r="H60" s="138"/>
      <c r="I60" s="138"/>
      <c r="J60" s="138"/>
      <c r="K60" s="138"/>
      <c r="L60" s="138"/>
      <c r="M60" s="139">
        <f t="shared" si="18"/>
        <v>300000</v>
      </c>
      <c r="N60" s="186"/>
    </row>
    <row r="61" spans="1:14" s="4" customFormat="1" ht="12.75">
      <c r="A61" s="7"/>
      <c r="B61" s="9"/>
      <c r="C61" s="10" t="s">
        <v>101</v>
      </c>
      <c r="D61" s="11" t="s">
        <v>102</v>
      </c>
      <c r="E61" s="106">
        <v>8000</v>
      </c>
      <c r="F61" s="236"/>
      <c r="G61" s="138"/>
      <c r="H61" s="138"/>
      <c r="I61" s="138"/>
      <c r="J61" s="138"/>
      <c r="K61" s="138"/>
      <c r="L61" s="138"/>
      <c r="M61" s="139">
        <f t="shared" si="18"/>
        <v>8000</v>
      </c>
      <c r="N61" s="186"/>
    </row>
    <row r="62" spans="1:14" s="4" customFormat="1" ht="25.5">
      <c r="A62" s="7"/>
      <c r="B62" s="7">
        <v>75618</v>
      </c>
      <c r="C62" s="7"/>
      <c r="D62" s="8" t="s">
        <v>124</v>
      </c>
      <c r="E62" s="113">
        <f>SUM(E63:E67)</f>
        <v>751280</v>
      </c>
      <c r="F62" s="235">
        <f>SUM(F63:F67)</f>
        <v>0</v>
      </c>
      <c r="G62" s="112">
        <f aca="true" t="shared" si="21" ref="G62:L62">SUM(G63:G67)</f>
        <v>0</v>
      </c>
      <c r="H62" s="112">
        <f t="shared" si="21"/>
        <v>0</v>
      </c>
      <c r="I62" s="112">
        <f t="shared" si="21"/>
        <v>0</v>
      </c>
      <c r="J62" s="112">
        <f t="shared" si="21"/>
        <v>0</v>
      </c>
      <c r="K62" s="112">
        <f t="shared" si="21"/>
        <v>0</v>
      </c>
      <c r="L62" s="112">
        <f t="shared" si="21"/>
        <v>0</v>
      </c>
      <c r="M62" s="142">
        <f>SUM(M63:M67)</f>
        <v>751280</v>
      </c>
      <c r="N62" s="185"/>
    </row>
    <row r="63" spans="1:14" s="4" customFormat="1" ht="12.75">
      <c r="A63" s="7"/>
      <c r="B63" s="7"/>
      <c r="C63" s="10" t="s">
        <v>125</v>
      </c>
      <c r="D63" s="11" t="s">
        <v>126</v>
      </c>
      <c r="E63" s="106">
        <v>30000</v>
      </c>
      <c r="F63" s="236"/>
      <c r="G63" s="138"/>
      <c r="H63" s="138"/>
      <c r="I63" s="138"/>
      <c r="J63" s="138"/>
      <c r="K63" s="138"/>
      <c r="L63" s="138"/>
      <c r="M63" s="139">
        <f t="shared" si="18"/>
        <v>30000</v>
      </c>
      <c r="N63" s="186"/>
    </row>
    <row r="64" spans="1:14" s="4" customFormat="1" ht="12.75">
      <c r="A64" s="7"/>
      <c r="B64" s="7"/>
      <c r="C64" s="10" t="s">
        <v>127</v>
      </c>
      <c r="D64" s="11" t="s">
        <v>128</v>
      </c>
      <c r="E64" s="106">
        <v>45000</v>
      </c>
      <c r="F64" s="236"/>
      <c r="G64" s="138"/>
      <c r="H64" s="138"/>
      <c r="I64" s="138"/>
      <c r="J64" s="138"/>
      <c r="K64" s="138"/>
      <c r="L64" s="138"/>
      <c r="M64" s="139">
        <f t="shared" si="18"/>
        <v>45000</v>
      </c>
      <c r="N64" s="186"/>
    </row>
    <row r="65" spans="1:14" s="4" customFormat="1" ht="12.75">
      <c r="A65" s="7"/>
      <c r="B65" s="7"/>
      <c r="C65" s="10" t="s">
        <v>129</v>
      </c>
      <c r="D65" s="11" t="s">
        <v>130</v>
      </c>
      <c r="E65" s="106">
        <v>85000</v>
      </c>
      <c r="F65" s="236"/>
      <c r="G65" s="138"/>
      <c r="H65" s="138"/>
      <c r="I65" s="138"/>
      <c r="J65" s="138"/>
      <c r="K65" s="138"/>
      <c r="L65" s="138"/>
      <c r="M65" s="139">
        <f t="shared" si="18"/>
        <v>85000</v>
      </c>
      <c r="N65" s="186"/>
    </row>
    <row r="66" spans="1:14" s="4" customFormat="1" ht="38.25">
      <c r="A66" s="7"/>
      <c r="B66" s="7"/>
      <c r="C66" s="10" t="s">
        <v>131</v>
      </c>
      <c r="D66" s="11" t="s">
        <v>132</v>
      </c>
      <c r="E66" s="106">
        <f>250000+150000+177000+2280+6000</f>
        <v>585280</v>
      </c>
      <c r="F66" s="236"/>
      <c r="G66" s="138"/>
      <c r="H66" s="138"/>
      <c r="I66" s="138"/>
      <c r="J66" s="138"/>
      <c r="K66" s="138"/>
      <c r="L66" s="138"/>
      <c r="M66" s="139">
        <f t="shared" si="18"/>
        <v>585280</v>
      </c>
      <c r="N66" s="186"/>
    </row>
    <row r="67" spans="1:14" s="4" customFormat="1" ht="12.75">
      <c r="A67" s="7"/>
      <c r="B67" s="9"/>
      <c r="C67" s="10" t="s">
        <v>101</v>
      </c>
      <c r="D67" s="11" t="s">
        <v>102</v>
      </c>
      <c r="E67" s="106">
        <v>6000</v>
      </c>
      <c r="F67" s="236"/>
      <c r="G67" s="138"/>
      <c r="H67" s="138"/>
      <c r="I67" s="138"/>
      <c r="J67" s="138"/>
      <c r="K67" s="138"/>
      <c r="L67" s="138"/>
      <c r="M67" s="139">
        <f t="shared" si="18"/>
        <v>6000</v>
      </c>
      <c r="N67" s="186"/>
    </row>
    <row r="68" spans="1:14" s="4" customFormat="1" ht="25.5">
      <c r="A68" s="7"/>
      <c r="B68" s="7">
        <v>75621</v>
      </c>
      <c r="C68" s="7"/>
      <c r="D68" s="8" t="s">
        <v>133</v>
      </c>
      <c r="E68" s="113">
        <f>SUM(E69:E70)</f>
        <v>3599337</v>
      </c>
      <c r="F68" s="235">
        <f>SUM(F69:F70)</f>
        <v>120000</v>
      </c>
      <c r="G68" s="112">
        <f aca="true" t="shared" si="22" ref="G68:L68">SUM(G69:G70)</f>
        <v>0</v>
      </c>
      <c r="H68" s="112">
        <f t="shared" si="22"/>
        <v>0</v>
      </c>
      <c r="I68" s="112">
        <f t="shared" si="22"/>
        <v>0</v>
      </c>
      <c r="J68" s="112">
        <f t="shared" si="22"/>
        <v>0</v>
      </c>
      <c r="K68" s="112">
        <f t="shared" si="22"/>
        <v>0</v>
      </c>
      <c r="L68" s="112">
        <f t="shared" si="22"/>
        <v>0</v>
      </c>
      <c r="M68" s="142">
        <f>SUM(M69:M70)</f>
        <v>3719337</v>
      </c>
      <c r="N68" s="185"/>
    </row>
    <row r="69" spans="1:14" s="4" customFormat="1" ht="12.75">
      <c r="A69" s="7"/>
      <c r="B69" s="9"/>
      <c r="C69" s="10" t="s">
        <v>134</v>
      </c>
      <c r="D69" s="11" t="s">
        <v>135</v>
      </c>
      <c r="E69" s="106">
        <v>3149337</v>
      </c>
      <c r="F69" s="236"/>
      <c r="G69" s="138"/>
      <c r="H69" s="138"/>
      <c r="I69" s="138"/>
      <c r="J69" s="138"/>
      <c r="K69" s="138"/>
      <c r="L69" s="138"/>
      <c r="M69" s="139">
        <f t="shared" si="18"/>
        <v>3149337</v>
      </c>
      <c r="N69" s="133"/>
    </row>
    <row r="70" spans="1:14" s="4" customFormat="1" ht="22.5">
      <c r="A70" s="7"/>
      <c r="B70" s="9"/>
      <c r="C70" s="10" t="s">
        <v>136</v>
      </c>
      <c r="D70" s="11" t="s">
        <v>137</v>
      </c>
      <c r="E70" s="106">
        <v>450000</v>
      </c>
      <c r="F70" s="236">
        <v>120000</v>
      </c>
      <c r="G70" s="138"/>
      <c r="H70" s="138"/>
      <c r="I70" s="138"/>
      <c r="J70" s="138"/>
      <c r="K70" s="138"/>
      <c r="L70" s="138"/>
      <c r="M70" s="139">
        <f t="shared" si="18"/>
        <v>570000</v>
      </c>
      <c r="N70" s="186" t="s">
        <v>474</v>
      </c>
    </row>
    <row r="71" spans="1:14" s="4" customFormat="1" ht="12.75" hidden="1">
      <c r="A71" s="5">
        <v>758</v>
      </c>
      <c r="B71" s="5"/>
      <c r="C71" s="5"/>
      <c r="D71" s="6" t="s">
        <v>28</v>
      </c>
      <c r="E71" s="100">
        <f>E72+E74+E76+E79</f>
        <v>6023556</v>
      </c>
      <c r="F71" s="233">
        <f>F72+F74+F76+F79</f>
        <v>0</v>
      </c>
      <c r="G71" s="140">
        <f aca="true" t="shared" si="23" ref="G71:L71">G72+G74+G76+G79</f>
        <v>0</v>
      </c>
      <c r="H71" s="140">
        <f t="shared" si="23"/>
        <v>0</v>
      </c>
      <c r="I71" s="140">
        <f t="shared" si="23"/>
        <v>0</v>
      </c>
      <c r="J71" s="140">
        <f t="shared" si="23"/>
        <v>0</v>
      </c>
      <c r="K71" s="140">
        <f t="shared" si="23"/>
        <v>0</v>
      </c>
      <c r="L71" s="140">
        <f t="shared" si="23"/>
        <v>0</v>
      </c>
      <c r="M71" s="100">
        <f>M72+M74+M76+M79</f>
        <v>6023556</v>
      </c>
      <c r="N71" s="184"/>
    </row>
    <row r="72" spans="1:14" s="4" customFormat="1" ht="29.25" customHeight="1" hidden="1">
      <c r="A72" s="7"/>
      <c r="B72" s="7">
        <v>75801</v>
      </c>
      <c r="C72" s="7"/>
      <c r="D72" s="8" t="s">
        <v>159</v>
      </c>
      <c r="E72" s="113">
        <f aca="true" t="shared" si="24" ref="E72:M72">E73</f>
        <v>5029308</v>
      </c>
      <c r="F72" s="235">
        <f t="shared" si="24"/>
        <v>0</v>
      </c>
      <c r="G72" s="112">
        <f t="shared" si="24"/>
        <v>0</v>
      </c>
      <c r="H72" s="112">
        <f t="shared" si="24"/>
        <v>0</v>
      </c>
      <c r="I72" s="112">
        <f t="shared" si="24"/>
        <v>0</v>
      </c>
      <c r="J72" s="112">
        <f t="shared" si="24"/>
        <v>0</v>
      </c>
      <c r="K72" s="112">
        <f t="shared" si="24"/>
        <v>0</v>
      </c>
      <c r="L72" s="112">
        <f t="shared" si="24"/>
        <v>0</v>
      </c>
      <c r="M72" s="142">
        <f t="shared" si="24"/>
        <v>5029308</v>
      </c>
      <c r="N72" s="185"/>
    </row>
    <row r="73" spans="1:14" s="4" customFormat="1" ht="12.75" hidden="1">
      <c r="A73" s="7"/>
      <c r="B73" s="9"/>
      <c r="C73" s="9">
        <v>2920</v>
      </c>
      <c r="D73" s="11" t="s">
        <v>160</v>
      </c>
      <c r="E73" s="106">
        <v>5029308</v>
      </c>
      <c r="F73" s="236"/>
      <c r="G73" s="138"/>
      <c r="H73" s="138"/>
      <c r="I73" s="138"/>
      <c r="J73" s="138"/>
      <c r="K73" s="138"/>
      <c r="L73" s="138"/>
      <c r="M73" s="139">
        <f aca="true" t="shared" si="25" ref="M73:M80">E73+F73+G73+H73+I73+J73+K73+L73</f>
        <v>5029308</v>
      </c>
      <c r="N73" s="133"/>
    </row>
    <row r="74" spans="1:14" s="4" customFormat="1" ht="12.75" hidden="1">
      <c r="A74" s="7"/>
      <c r="B74" s="7">
        <v>75807</v>
      </c>
      <c r="C74" s="7"/>
      <c r="D74" s="8" t="s">
        <v>161</v>
      </c>
      <c r="E74" s="113">
        <f aca="true" t="shared" si="26" ref="E74:M74">E75</f>
        <v>736677</v>
      </c>
      <c r="F74" s="235">
        <f t="shared" si="26"/>
        <v>0</v>
      </c>
      <c r="G74" s="112">
        <f t="shared" si="26"/>
        <v>0</v>
      </c>
      <c r="H74" s="112">
        <f t="shared" si="26"/>
        <v>0</v>
      </c>
      <c r="I74" s="112">
        <f t="shared" si="26"/>
        <v>0</v>
      </c>
      <c r="J74" s="112">
        <f t="shared" si="26"/>
        <v>0</v>
      </c>
      <c r="K74" s="112">
        <f t="shared" si="26"/>
        <v>0</v>
      </c>
      <c r="L74" s="112">
        <f t="shared" si="26"/>
        <v>0</v>
      </c>
      <c r="M74" s="142">
        <f t="shared" si="26"/>
        <v>736677</v>
      </c>
      <c r="N74" s="185"/>
    </row>
    <row r="75" spans="1:14" s="4" customFormat="1" ht="12.75" hidden="1">
      <c r="A75" s="7"/>
      <c r="B75" s="9"/>
      <c r="C75" s="9">
        <v>2920</v>
      </c>
      <c r="D75" s="11" t="s">
        <v>160</v>
      </c>
      <c r="E75" s="106">
        <v>736677</v>
      </c>
      <c r="F75" s="236"/>
      <c r="G75" s="138"/>
      <c r="H75" s="138"/>
      <c r="I75" s="138"/>
      <c r="J75" s="138"/>
      <c r="K75" s="138"/>
      <c r="L75" s="138"/>
      <c r="M75" s="139">
        <f t="shared" si="25"/>
        <v>736677</v>
      </c>
      <c r="N75" s="186"/>
    </row>
    <row r="76" spans="1:14" s="119" customFormat="1" ht="12.75" hidden="1">
      <c r="A76" s="7"/>
      <c r="B76" s="7">
        <v>75814</v>
      </c>
      <c r="C76" s="7"/>
      <c r="D76" s="8" t="s">
        <v>162</v>
      </c>
      <c r="E76" s="113">
        <f>E77+E78</f>
        <v>174976</v>
      </c>
      <c r="F76" s="235">
        <f>SUM(F77:F78)</f>
        <v>0</v>
      </c>
      <c r="G76" s="112">
        <f aca="true" t="shared" si="27" ref="G76:L76">G77</f>
        <v>0</v>
      </c>
      <c r="H76" s="112">
        <f t="shared" si="27"/>
        <v>0</v>
      </c>
      <c r="I76" s="112">
        <f t="shared" si="27"/>
        <v>0</v>
      </c>
      <c r="J76" s="112">
        <f t="shared" si="27"/>
        <v>0</v>
      </c>
      <c r="K76" s="112">
        <f t="shared" si="27"/>
        <v>0</v>
      </c>
      <c r="L76" s="112">
        <f t="shared" si="27"/>
        <v>0</v>
      </c>
      <c r="M76" s="142">
        <f>M77+M78</f>
        <v>174976</v>
      </c>
      <c r="N76" s="185"/>
    </row>
    <row r="77" spans="1:14" s="4" customFormat="1" ht="12.75" hidden="1">
      <c r="A77" s="7"/>
      <c r="B77" s="9"/>
      <c r="C77" s="10" t="s">
        <v>23</v>
      </c>
      <c r="D77" s="11" t="s">
        <v>24</v>
      </c>
      <c r="E77" s="106">
        <v>30000</v>
      </c>
      <c r="F77" s="236"/>
      <c r="G77" s="138"/>
      <c r="H77" s="138"/>
      <c r="I77" s="138"/>
      <c r="J77" s="138"/>
      <c r="K77" s="138"/>
      <c r="L77" s="138"/>
      <c r="M77" s="139">
        <f t="shared" si="25"/>
        <v>30000</v>
      </c>
      <c r="N77" s="186"/>
    </row>
    <row r="78" spans="1:14" s="4" customFormat="1" ht="25.5" hidden="1">
      <c r="A78" s="7"/>
      <c r="B78" s="9"/>
      <c r="C78" s="10">
        <v>2370</v>
      </c>
      <c r="D78" s="11" t="s">
        <v>163</v>
      </c>
      <c r="E78" s="106">
        <v>144976</v>
      </c>
      <c r="F78" s="236"/>
      <c r="G78" s="138"/>
      <c r="H78" s="138"/>
      <c r="I78" s="138"/>
      <c r="J78" s="138"/>
      <c r="K78" s="138"/>
      <c r="L78" s="138"/>
      <c r="M78" s="139">
        <f t="shared" si="25"/>
        <v>144976</v>
      </c>
      <c r="N78" s="186"/>
    </row>
    <row r="79" spans="1:14" s="4" customFormat="1" ht="12.75" hidden="1">
      <c r="A79" s="7"/>
      <c r="B79" s="7">
        <v>75831</v>
      </c>
      <c r="C79" s="7"/>
      <c r="D79" s="8" t="s">
        <v>164</v>
      </c>
      <c r="E79" s="113">
        <f aca="true" t="shared" si="28" ref="E79:M79">E80</f>
        <v>82595</v>
      </c>
      <c r="F79" s="235">
        <f t="shared" si="28"/>
        <v>0</v>
      </c>
      <c r="G79" s="112">
        <f t="shared" si="28"/>
        <v>0</v>
      </c>
      <c r="H79" s="112">
        <f t="shared" si="28"/>
        <v>0</v>
      </c>
      <c r="I79" s="112">
        <f t="shared" si="28"/>
        <v>0</v>
      </c>
      <c r="J79" s="112">
        <f t="shared" si="28"/>
        <v>0</v>
      </c>
      <c r="K79" s="112">
        <f t="shared" si="28"/>
        <v>0</v>
      </c>
      <c r="L79" s="112">
        <f t="shared" si="28"/>
        <v>0</v>
      </c>
      <c r="M79" s="142">
        <f t="shared" si="28"/>
        <v>82595</v>
      </c>
      <c r="N79" s="185"/>
    </row>
    <row r="80" spans="1:14" s="4" customFormat="1" ht="12.75" hidden="1">
      <c r="A80" s="7"/>
      <c r="B80" s="9"/>
      <c r="C80" s="9">
        <v>2920</v>
      </c>
      <c r="D80" s="11" t="s">
        <v>160</v>
      </c>
      <c r="E80" s="106">
        <v>82595</v>
      </c>
      <c r="F80" s="236"/>
      <c r="G80" s="138"/>
      <c r="H80" s="138"/>
      <c r="I80" s="138"/>
      <c r="J80" s="138"/>
      <c r="K80" s="138"/>
      <c r="L80" s="138"/>
      <c r="M80" s="139">
        <f t="shared" si="25"/>
        <v>82595</v>
      </c>
      <c r="N80" s="186"/>
    </row>
    <row r="81" spans="1:14" s="4" customFormat="1" ht="15" customHeight="1" hidden="1">
      <c r="A81" s="5">
        <v>801</v>
      </c>
      <c r="B81" s="5"/>
      <c r="C81" s="5"/>
      <c r="D81" s="6" t="s">
        <v>29</v>
      </c>
      <c r="E81" s="100">
        <f>E82+E85+E89+E92+E94+E97</f>
        <v>173783</v>
      </c>
      <c r="F81" s="233">
        <f>F82+F85+F89+F92+F94+F97</f>
        <v>0</v>
      </c>
      <c r="G81" s="140">
        <f aca="true" t="shared" si="29" ref="G81:L81">G82+G85+G89+G92+G94+G97</f>
        <v>0</v>
      </c>
      <c r="H81" s="140">
        <f t="shared" si="29"/>
        <v>0</v>
      </c>
      <c r="I81" s="140">
        <f t="shared" si="29"/>
        <v>0</v>
      </c>
      <c r="J81" s="140">
        <f t="shared" si="29"/>
        <v>0</v>
      </c>
      <c r="K81" s="140">
        <f t="shared" si="29"/>
        <v>0</v>
      </c>
      <c r="L81" s="140">
        <f t="shared" si="29"/>
        <v>0</v>
      </c>
      <c r="M81" s="100">
        <f>M82+M85+M89+M92+M94+M97</f>
        <v>173783</v>
      </c>
      <c r="N81" s="184"/>
    </row>
    <row r="82" spans="1:14" s="4" customFormat="1" ht="12.75" hidden="1">
      <c r="A82" s="14"/>
      <c r="B82" s="14">
        <v>80101</v>
      </c>
      <c r="C82" s="14"/>
      <c r="D82" s="8" t="s">
        <v>30</v>
      </c>
      <c r="E82" s="113">
        <f aca="true" t="shared" si="30" ref="E82:L82">E83</f>
        <v>9000</v>
      </c>
      <c r="F82" s="235">
        <f t="shared" si="30"/>
        <v>0</v>
      </c>
      <c r="G82" s="112">
        <f t="shared" si="30"/>
        <v>0</v>
      </c>
      <c r="H82" s="112">
        <f>H83+H84</f>
        <v>0</v>
      </c>
      <c r="I82" s="112">
        <f t="shared" si="30"/>
        <v>0</v>
      </c>
      <c r="J82" s="112">
        <f t="shared" si="30"/>
        <v>0</v>
      </c>
      <c r="K82" s="112">
        <f t="shared" si="30"/>
        <v>0</v>
      </c>
      <c r="L82" s="112">
        <f t="shared" si="30"/>
        <v>0</v>
      </c>
      <c r="M82" s="142">
        <f>M83+M84</f>
        <v>9000</v>
      </c>
      <c r="N82" s="185"/>
    </row>
    <row r="83" spans="1:14" s="110" customFormat="1" ht="26.25" customHeight="1" hidden="1">
      <c r="A83" s="12"/>
      <c r="B83" s="12"/>
      <c r="C83" s="15" t="s">
        <v>93</v>
      </c>
      <c r="D83" s="16" t="s">
        <v>94</v>
      </c>
      <c r="E83" s="114">
        <v>9000</v>
      </c>
      <c r="F83" s="426"/>
      <c r="G83" s="13"/>
      <c r="H83" s="13"/>
      <c r="I83" s="13"/>
      <c r="J83" s="13"/>
      <c r="K83" s="13"/>
      <c r="L83" s="13"/>
      <c r="M83" s="139">
        <f aca="true" t="shared" si="31" ref="M83:M91">E83+F83+G83+H83+I83+J83+K83+L83</f>
        <v>9000</v>
      </c>
      <c r="N83" s="189"/>
    </row>
    <row r="84" spans="1:14" s="110" customFormat="1" ht="27.75" customHeight="1" hidden="1">
      <c r="A84" s="12"/>
      <c r="B84" s="12"/>
      <c r="C84" s="15">
        <v>2030</v>
      </c>
      <c r="D84" s="16" t="s">
        <v>31</v>
      </c>
      <c r="E84" s="114"/>
      <c r="F84" s="426"/>
      <c r="G84" s="13"/>
      <c r="H84" s="13"/>
      <c r="I84" s="13"/>
      <c r="J84" s="13"/>
      <c r="K84" s="13"/>
      <c r="L84" s="13"/>
      <c r="M84" s="139">
        <f t="shared" si="31"/>
        <v>0</v>
      </c>
      <c r="N84" s="189"/>
    </row>
    <row r="85" spans="1:14" s="4" customFormat="1" ht="12.75" hidden="1">
      <c r="A85" s="14"/>
      <c r="B85" s="14">
        <v>80104</v>
      </c>
      <c r="C85" s="14"/>
      <c r="D85" s="17" t="s">
        <v>32</v>
      </c>
      <c r="E85" s="113">
        <f>SUM(E86:E88)</f>
        <v>146400</v>
      </c>
      <c r="F85" s="235">
        <f>SUM(F86:F88)</f>
        <v>0</v>
      </c>
      <c r="G85" s="112">
        <f aca="true" t="shared" si="32" ref="G85:L85">SUM(G86:G88)</f>
        <v>0</v>
      </c>
      <c r="H85" s="112">
        <f t="shared" si="32"/>
        <v>0</v>
      </c>
      <c r="I85" s="112">
        <f t="shared" si="32"/>
        <v>0</v>
      </c>
      <c r="J85" s="112">
        <f t="shared" si="32"/>
        <v>0</v>
      </c>
      <c r="K85" s="112">
        <f t="shared" si="32"/>
        <v>0</v>
      </c>
      <c r="L85" s="112">
        <f t="shared" si="32"/>
        <v>0</v>
      </c>
      <c r="M85" s="142">
        <f>SUM(M86:M88)</f>
        <v>146400</v>
      </c>
      <c r="N85" s="185"/>
    </row>
    <row r="86" spans="1:14" s="4" customFormat="1" ht="12.75" hidden="1">
      <c r="A86" s="14"/>
      <c r="B86" s="14"/>
      <c r="C86" s="10" t="s">
        <v>138</v>
      </c>
      <c r="D86" s="11" t="s">
        <v>139</v>
      </c>
      <c r="E86" s="106">
        <v>138600</v>
      </c>
      <c r="F86" s="236"/>
      <c r="G86" s="138"/>
      <c r="H86" s="138"/>
      <c r="I86" s="138"/>
      <c r="J86" s="138"/>
      <c r="K86" s="138"/>
      <c r="L86" s="138"/>
      <c r="M86" s="139">
        <f t="shared" si="31"/>
        <v>138600</v>
      </c>
      <c r="N86" s="186"/>
    </row>
    <row r="87" spans="1:14" s="4" customFormat="1" ht="27.75" customHeight="1" hidden="1">
      <c r="A87" s="14"/>
      <c r="B87" s="14"/>
      <c r="C87" s="10" t="s">
        <v>101</v>
      </c>
      <c r="D87" s="11" t="s">
        <v>102</v>
      </c>
      <c r="E87" s="106">
        <v>100</v>
      </c>
      <c r="F87" s="236"/>
      <c r="G87" s="138"/>
      <c r="H87" s="138"/>
      <c r="I87" s="138"/>
      <c r="J87" s="138"/>
      <c r="K87" s="138"/>
      <c r="L87" s="138"/>
      <c r="M87" s="139">
        <f t="shared" si="31"/>
        <v>100</v>
      </c>
      <c r="N87" s="186"/>
    </row>
    <row r="88" spans="1:14" s="4" customFormat="1" ht="16.5" customHeight="1" hidden="1">
      <c r="A88" s="14"/>
      <c r="B88" s="14"/>
      <c r="C88" s="15" t="s">
        <v>93</v>
      </c>
      <c r="D88" s="16" t="s">
        <v>94</v>
      </c>
      <c r="E88" s="106">
        <v>7700</v>
      </c>
      <c r="F88" s="236"/>
      <c r="G88" s="138"/>
      <c r="H88" s="138"/>
      <c r="I88" s="138"/>
      <c r="J88" s="138"/>
      <c r="K88" s="138"/>
      <c r="L88" s="138"/>
      <c r="M88" s="139">
        <f t="shared" si="31"/>
        <v>7700</v>
      </c>
      <c r="N88" s="186"/>
    </row>
    <row r="89" spans="1:14" s="4" customFormat="1" ht="12.75" customHeight="1" hidden="1">
      <c r="A89" s="14"/>
      <c r="B89" s="7">
        <v>80110</v>
      </c>
      <c r="C89" s="7"/>
      <c r="D89" s="8" t="s">
        <v>33</v>
      </c>
      <c r="E89" s="113">
        <f>E90+E91</f>
        <v>0</v>
      </c>
      <c r="F89" s="235">
        <f>F90+F91</f>
        <v>0</v>
      </c>
      <c r="G89" s="112">
        <f aca="true" t="shared" si="33" ref="G89:L89">G90+G91</f>
        <v>0</v>
      </c>
      <c r="H89" s="112">
        <f t="shared" si="33"/>
        <v>0</v>
      </c>
      <c r="I89" s="112">
        <f t="shared" si="33"/>
        <v>0</v>
      </c>
      <c r="J89" s="112">
        <f t="shared" si="33"/>
        <v>0</v>
      </c>
      <c r="K89" s="112">
        <f t="shared" si="33"/>
        <v>0</v>
      </c>
      <c r="L89" s="112">
        <f t="shared" si="33"/>
        <v>0</v>
      </c>
      <c r="M89" s="142">
        <f>M90+M91</f>
        <v>0</v>
      </c>
      <c r="N89" s="185"/>
    </row>
    <row r="90" spans="1:14" s="4" customFormat="1" ht="32.25" customHeight="1" hidden="1">
      <c r="A90" s="14"/>
      <c r="B90" s="14"/>
      <c r="C90" s="10">
        <v>6298</v>
      </c>
      <c r="D90" s="11" t="s">
        <v>140</v>
      </c>
      <c r="E90" s="106"/>
      <c r="F90" s="236"/>
      <c r="G90" s="138"/>
      <c r="H90" s="138"/>
      <c r="I90" s="138"/>
      <c r="J90" s="138"/>
      <c r="K90" s="138"/>
      <c r="L90" s="138"/>
      <c r="M90" s="139">
        <f t="shared" si="31"/>
        <v>0</v>
      </c>
      <c r="N90" s="186"/>
    </row>
    <row r="91" spans="1:14" s="4" customFormat="1" ht="40.5" customHeight="1" hidden="1">
      <c r="A91" s="14"/>
      <c r="B91" s="14"/>
      <c r="C91" s="10">
        <v>6339</v>
      </c>
      <c r="D91" s="11" t="s">
        <v>141</v>
      </c>
      <c r="E91" s="106"/>
      <c r="F91" s="236"/>
      <c r="G91" s="138"/>
      <c r="H91" s="138"/>
      <c r="I91" s="138"/>
      <c r="J91" s="138"/>
      <c r="K91" s="138"/>
      <c r="L91" s="138"/>
      <c r="M91" s="139">
        <f t="shared" si="31"/>
        <v>0</v>
      </c>
      <c r="N91" s="186"/>
    </row>
    <row r="92" spans="1:14" s="4" customFormat="1" ht="12.75" customHeight="1" hidden="1">
      <c r="A92" s="14"/>
      <c r="B92" s="7">
        <v>80113</v>
      </c>
      <c r="C92" s="7"/>
      <c r="D92" s="8" t="s">
        <v>152</v>
      </c>
      <c r="E92" s="113">
        <f aca="true" t="shared" si="34" ref="E92:M92">E93</f>
        <v>0</v>
      </c>
      <c r="F92" s="235">
        <f t="shared" si="34"/>
        <v>0</v>
      </c>
      <c r="G92" s="112">
        <f t="shared" si="34"/>
        <v>0</v>
      </c>
      <c r="H92" s="112">
        <f t="shared" si="34"/>
        <v>0</v>
      </c>
      <c r="I92" s="112">
        <f t="shared" si="34"/>
        <v>0</v>
      </c>
      <c r="J92" s="112">
        <f t="shared" si="34"/>
        <v>0</v>
      </c>
      <c r="K92" s="112">
        <f t="shared" si="34"/>
        <v>0</v>
      </c>
      <c r="L92" s="112">
        <f t="shared" si="34"/>
        <v>0</v>
      </c>
      <c r="M92" s="142">
        <f t="shared" si="34"/>
        <v>0</v>
      </c>
      <c r="N92" s="185"/>
    </row>
    <row r="93" spans="1:14" s="4" customFormat="1" ht="12.75" customHeight="1" hidden="1">
      <c r="A93" s="14"/>
      <c r="B93" s="14"/>
      <c r="C93" s="15" t="s">
        <v>93</v>
      </c>
      <c r="D93" s="16" t="s">
        <v>94</v>
      </c>
      <c r="E93" s="106"/>
      <c r="F93" s="236"/>
      <c r="G93" s="138"/>
      <c r="H93" s="138"/>
      <c r="I93" s="138"/>
      <c r="J93" s="138"/>
      <c r="K93" s="138"/>
      <c r="L93" s="138"/>
      <c r="M93" s="139">
        <f>E93+F93+G93+H93+I93+J93+K93</f>
        <v>0</v>
      </c>
      <c r="N93" s="186"/>
    </row>
    <row r="94" spans="1:14" s="4" customFormat="1" ht="27.75" customHeight="1" hidden="1">
      <c r="A94" s="14"/>
      <c r="B94" s="7">
        <v>80114</v>
      </c>
      <c r="C94" s="7"/>
      <c r="D94" s="8" t="s">
        <v>142</v>
      </c>
      <c r="E94" s="113">
        <f>E95+E96</f>
        <v>500</v>
      </c>
      <c r="F94" s="235">
        <f>F95+F96</f>
        <v>0</v>
      </c>
      <c r="G94" s="112">
        <f aca="true" t="shared" si="35" ref="G94:L94">G95+G96</f>
        <v>0</v>
      </c>
      <c r="H94" s="112">
        <f t="shared" si="35"/>
        <v>0</v>
      </c>
      <c r="I94" s="112">
        <f t="shared" si="35"/>
        <v>0</v>
      </c>
      <c r="J94" s="112">
        <f t="shared" si="35"/>
        <v>0</v>
      </c>
      <c r="K94" s="112">
        <f t="shared" si="35"/>
        <v>0</v>
      </c>
      <c r="L94" s="112">
        <f t="shared" si="35"/>
        <v>0</v>
      </c>
      <c r="M94" s="142">
        <f>E94+F94+G94+H94+I94+J94+K94</f>
        <v>500</v>
      </c>
      <c r="N94" s="185"/>
    </row>
    <row r="95" spans="1:14" s="4" customFormat="1" ht="12.75" hidden="1">
      <c r="A95" s="14"/>
      <c r="B95" s="14"/>
      <c r="C95" s="10" t="s">
        <v>23</v>
      </c>
      <c r="D95" s="11" t="s">
        <v>24</v>
      </c>
      <c r="E95" s="106">
        <v>500</v>
      </c>
      <c r="F95" s="236"/>
      <c r="G95" s="138"/>
      <c r="H95" s="138"/>
      <c r="I95" s="138"/>
      <c r="J95" s="138"/>
      <c r="K95" s="138"/>
      <c r="L95" s="138"/>
      <c r="M95" s="139">
        <f>E95+F95+G95+H95+I95+J95+K95+L95</f>
        <v>500</v>
      </c>
      <c r="N95" s="186"/>
    </row>
    <row r="96" spans="1:14" s="4" customFormat="1" ht="22.5" customHeight="1" hidden="1">
      <c r="A96" s="14"/>
      <c r="B96" s="14"/>
      <c r="C96" s="15" t="s">
        <v>93</v>
      </c>
      <c r="D96" s="16" t="s">
        <v>94</v>
      </c>
      <c r="E96" s="106"/>
      <c r="F96" s="236"/>
      <c r="G96" s="138"/>
      <c r="H96" s="138"/>
      <c r="I96" s="138"/>
      <c r="J96" s="138"/>
      <c r="K96" s="138"/>
      <c r="L96" s="138"/>
      <c r="M96" s="139">
        <f>E96+F96+G96+H96+I96+J96+K96+L96</f>
        <v>0</v>
      </c>
      <c r="N96" s="186"/>
    </row>
    <row r="97" spans="1:14" s="4" customFormat="1" ht="18" customHeight="1" hidden="1">
      <c r="A97" s="14"/>
      <c r="B97" s="14">
        <v>80195</v>
      </c>
      <c r="C97" s="10"/>
      <c r="D97" s="18" t="s">
        <v>34</v>
      </c>
      <c r="E97" s="113">
        <f>E98</f>
        <v>17883</v>
      </c>
      <c r="F97" s="235">
        <f>F98</f>
        <v>0</v>
      </c>
      <c r="G97" s="112">
        <f aca="true" t="shared" si="36" ref="G97:L97">G98</f>
        <v>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44">
        <f>M98</f>
        <v>17883</v>
      </c>
      <c r="N97" s="185"/>
    </row>
    <row r="98" spans="1:14" s="4" customFormat="1" ht="25.5" hidden="1">
      <c r="A98" s="14"/>
      <c r="B98" s="14"/>
      <c r="C98" s="15">
        <v>2030</v>
      </c>
      <c r="D98" s="16" t="s">
        <v>31</v>
      </c>
      <c r="E98" s="106">
        <v>17883</v>
      </c>
      <c r="F98" s="236"/>
      <c r="G98" s="138"/>
      <c r="H98" s="138"/>
      <c r="I98" s="138"/>
      <c r="J98" s="138"/>
      <c r="K98" s="138"/>
      <c r="L98" s="138"/>
      <c r="M98" s="139">
        <f>E98+F98+G98+H98+I98+J98+K98+L98</f>
        <v>17883</v>
      </c>
      <c r="N98" s="186"/>
    </row>
    <row r="99" spans="1:14" s="4" customFormat="1" ht="16.5" customHeight="1">
      <c r="A99" s="5">
        <v>852</v>
      </c>
      <c r="B99" s="5"/>
      <c r="C99" s="5"/>
      <c r="D99" s="6" t="s">
        <v>165</v>
      </c>
      <c r="E99" s="100">
        <f>E104+E106+E110+E100+E115+E113</f>
        <v>1791300</v>
      </c>
      <c r="F99" s="233">
        <f>F104+F106+F110+F100+F115</f>
        <v>4350</v>
      </c>
      <c r="G99" s="140">
        <f aca="true" t="shared" si="37" ref="G99:L99">G104+G106+G110+G100+G115</f>
        <v>0</v>
      </c>
      <c r="H99" s="140">
        <f t="shared" si="37"/>
        <v>0</v>
      </c>
      <c r="I99" s="224">
        <f t="shared" si="37"/>
        <v>0</v>
      </c>
      <c r="J99" s="140">
        <f t="shared" si="37"/>
        <v>0</v>
      </c>
      <c r="K99" s="140">
        <f t="shared" si="37"/>
        <v>0</v>
      </c>
      <c r="L99" s="140">
        <f t="shared" si="37"/>
        <v>0</v>
      </c>
      <c r="M99" s="100">
        <f>M104+M106+M110+M100+M115+M113</f>
        <v>1795650</v>
      </c>
      <c r="N99" s="184"/>
    </row>
    <row r="100" spans="1:14" s="110" customFormat="1" ht="38.25">
      <c r="A100" s="12"/>
      <c r="B100" s="7">
        <v>85212</v>
      </c>
      <c r="C100" s="7"/>
      <c r="D100" s="8" t="s">
        <v>475</v>
      </c>
      <c r="E100" s="101">
        <f>SUM(E101:E102)</f>
        <v>1657900</v>
      </c>
      <c r="F100" s="425">
        <f>SUM(F101:F102)</f>
        <v>0</v>
      </c>
      <c r="G100" s="141">
        <f aca="true" t="shared" si="38" ref="G100:L100">SUM(G101:G102)</f>
        <v>0</v>
      </c>
      <c r="H100" s="141">
        <f t="shared" si="38"/>
        <v>0</v>
      </c>
      <c r="I100" s="141">
        <f t="shared" si="38"/>
        <v>0</v>
      </c>
      <c r="J100" s="141">
        <f>SUM(J101:L103)</f>
        <v>0</v>
      </c>
      <c r="K100" s="141">
        <f t="shared" si="38"/>
        <v>0</v>
      </c>
      <c r="L100" s="141">
        <f t="shared" si="38"/>
        <v>0</v>
      </c>
      <c r="M100" s="142">
        <f>M101+M102+M103</f>
        <v>1657900</v>
      </c>
      <c r="N100" s="187"/>
    </row>
    <row r="101" spans="1:14" s="110" customFormat="1" ht="38.25">
      <c r="A101" s="12"/>
      <c r="B101" s="7"/>
      <c r="C101" s="9">
        <v>2010</v>
      </c>
      <c r="D101" s="11" t="s">
        <v>26</v>
      </c>
      <c r="E101" s="114">
        <v>1652900</v>
      </c>
      <c r="F101" s="426"/>
      <c r="G101" s="13"/>
      <c r="H101" s="13"/>
      <c r="I101" s="13"/>
      <c r="J101" s="13"/>
      <c r="K101" s="13"/>
      <c r="L101" s="13"/>
      <c r="M101" s="139">
        <f aca="true" t="shared" si="39" ref="M101:M109">E101+F101+G101+H101+I101+J101+K101+L101</f>
        <v>1652900</v>
      </c>
      <c r="N101" s="189"/>
    </row>
    <row r="102" spans="1:14" s="110" customFormat="1" ht="38.25">
      <c r="A102" s="12"/>
      <c r="B102" s="7"/>
      <c r="C102" s="9">
        <v>2360</v>
      </c>
      <c r="D102" s="11" t="s">
        <v>158</v>
      </c>
      <c r="E102" s="114">
        <v>5000</v>
      </c>
      <c r="F102" s="426"/>
      <c r="G102" s="13"/>
      <c r="H102" s="13"/>
      <c r="I102" s="13"/>
      <c r="J102" s="13"/>
      <c r="K102" s="13"/>
      <c r="L102" s="13"/>
      <c r="M102" s="139">
        <f t="shared" si="39"/>
        <v>5000</v>
      </c>
      <c r="N102" s="189"/>
    </row>
    <row r="103" spans="1:14" s="110" customFormat="1" ht="63.75" customHeight="1">
      <c r="A103" s="12"/>
      <c r="B103" s="7"/>
      <c r="C103" s="9">
        <v>6310</v>
      </c>
      <c r="D103" s="11" t="s">
        <v>242</v>
      </c>
      <c r="E103" s="114"/>
      <c r="F103" s="426"/>
      <c r="G103" s="13"/>
      <c r="H103" s="13"/>
      <c r="I103" s="13"/>
      <c r="J103" s="13"/>
      <c r="K103" s="13"/>
      <c r="L103" s="13"/>
      <c r="M103" s="139">
        <f t="shared" si="39"/>
        <v>0</v>
      </c>
      <c r="N103" s="189"/>
    </row>
    <row r="104" spans="1:14" s="110" customFormat="1" ht="38.25">
      <c r="A104" s="12"/>
      <c r="B104" s="7">
        <v>85213</v>
      </c>
      <c r="C104" s="7"/>
      <c r="D104" s="8" t="s">
        <v>166</v>
      </c>
      <c r="E104" s="101">
        <f aca="true" t="shared" si="40" ref="E104:M104">E105</f>
        <v>9200</v>
      </c>
      <c r="F104" s="425">
        <f t="shared" si="40"/>
        <v>0</v>
      </c>
      <c r="G104" s="141">
        <f t="shared" si="40"/>
        <v>0</v>
      </c>
      <c r="H104" s="141">
        <f t="shared" si="40"/>
        <v>0</v>
      </c>
      <c r="I104" s="141">
        <f t="shared" si="40"/>
        <v>0</v>
      </c>
      <c r="J104" s="141">
        <f t="shared" si="40"/>
        <v>0</v>
      </c>
      <c r="K104" s="141">
        <f t="shared" si="40"/>
        <v>0</v>
      </c>
      <c r="L104" s="141">
        <f t="shared" si="40"/>
        <v>0</v>
      </c>
      <c r="M104" s="142">
        <f t="shared" si="40"/>
        <v>9200</v>
      </c>
      <c r="N104" s="187"/>
    </row>
    <row r="105" spans="1:14" s="110" customFormat="1" ht="38.25">
      <c r="A105" s="12"/>
      <c r="B105" s="12"/>
      <c r="C105" s="9">
        <v>2010</v>
      </c>
      <c r="D105" s="11" t="s">
        <v>26</v>
      </c>
      <c r="E105" s="114">
        <v>9200</v>
      </c>
      <c r="F105" s="426"/>
      <c r="G105" s="13"/>
      <c r="H105" s="13"/>
      <c r="I105" s="13"/>
      <c r="J105" s="13"/>
      <c r="K105" s="13"/>
      <c r="L105" s="13"/>
      <c r="M105" s="139">
        <f t="shared" si="39"/>
        <v>9200</v>
      </c>
      <c r="N105" s="189"/>
    </row>
    <row r="106" spans="1:14" s="4" customFormat="1" ht="25.5">
      <c r="A106" s="7"/>
      <c r="B106" s="7">
        <v>85214</v>
      </c>
      <c r="C106" s="7"/>
      <c r="D106" s="8" t="s">
        <v>167</v>
      </c>
      <c r="E106" s="113">
        <f>E107+E108+E109</f>
        <v>54400</v>
      </c>
      <c r="F106" s="235">
        <f>F107+F108+F109</f>
        <v>0</v>
      </c>
      <c r="G106" s="112">
        <f aca="true" t="shared" si="41" ref="G106:L106">G107+G108</f>
        <v>0</v>
      </c>
      <c r="H106" s="112">
        <f t="shared" si="41"/>
        <v>0</v>
      </c>
      <c r="I106" s="212">
        <f t="shared" si="41"/>
        <v>0</v>
      </c>
      <c r="J106" s="112">
        <f t="shared" si="41"/>
        <v>0</v>
      </c>
      <c r="K106" s="112">
        <f t="shared" si="41"/>
        <v>0</v>
      </c>
      <c r="L106" s="112">
        <f t="shared" si="41"/>
        <v>0</v>
      </c>
      <c r="M106" s="142">
        <f>M107+M108+M109</f>
        <v>54400</v>
      </c>
      <c r="N106" s="185"/>
    </row>
    <row r="107" spans="1:14" s="4" customFormat="1" ht="38.25">
      <c r="A107" s="7"/>
      <c r="B107" s="9"/>
      <c r="C107" s="9">
        <v>2010</v>
      </c>
      <c r="D107" s="11" t="s">
        <v>26</v>
      </c>
      <c r="E107" s="106">
        <v>36600</v>
      </c>
      <c r="F107" s="236"/>
      <c r="G107" s="138"/>
      <c r="H107" s="138"/>
      <c r="I107" s="138"/>
      <c r="J107" s="138"/>
      <c r="K107" s="138"/>
      <c r="L107" s="138"/>
      <c r="M107" s="139">
        <f t="shared" si="39"/>
        <v>36600</v>
      </c>
      <c r="N107" s="427"/>
    </row>
    <row r="108" spans="1:14" s="4" customFormat="1" ht="25.5">
      <c r="A108" s="7"/>
      <c r="B108" s="9"/>
      <c r="C108" s="15">
        <v>2030</v>
      </c>
      <c r="D108" s="16" t="s">
        <v>31</v>
      </c>
      <c r="E108" s="106">
        <v>12800</v>
      </c>
      <c r="F108" s="236"/>
      <c r="G108" s="138"/>
      <c r="H108" s="138"/>
      <c r="I108" s="137"/>
      <c r="J108" s="138"/>
      <c r="K108" s="138"/>
      <c r="L108" s="138"/>
      <c r="M108" s="139">
        <f t="shared" si="39"/>
        <v>12800</v>
      </c>
      <c r="N108" s="427"/>
    </row>
    <row r="109" spans="1:14" s="4" customFormat="1" ht="12.75">
      <c r="A109" s="7"/>
      <c r="B109" s="9"/>
      <c r="C109" s="15" t="s">
        <v>93</v>
      </c>
      <c r="D109" s="16" t="s">
        <v>94</v>
      </c>
      <c r="E109" s="106">
        <v>5000</v>
      </c>
      <c r="F109" s="236"/>
      <c r="G109" s="138"/>
      <c r="H109" s="138"/>
      <c r="I109" s="137"/>
      <c r="J109" s="138"/>
      <c r="K109" s="138"/>
      <c r="L109" s="138"/>
      <c r="M109" s="139">
        <f t="shared" si="39"/>
        <v>5000</v>
      </c>
      <c r="N109" s="186"/>
    </row>
    <row r="110" spans="1:14" s="4" customFormat="1" ht="18" customHeight="1">
      <c r="A110" s="7"/>
      <c r="B110" s="7">
        <v>85219</v>
      </c>
      <c r="C110" s="7"/>
      <c r="D110" s="8" t="s">
        <v>168</v>
      </c>
      <c r="E110" s="113">
        <f>E111+E112</f>
        <v>40800</v>
      </c>
      <c r="F110" s="235">
        <f>F111+F112</f>
        <v>4350</v>
      </c>
      <c r="G110" s="112">
        <f aca="true" t="shared" si="42" ref="G110:L110">G111+G112</f>
        <v>0</v>
      </c>
      <c r="H110" s="112">
        <f t="shared" si="42"/>
        <v>0</v>
      </c>
      <c r="I110" s="112">
        <f t="shared" si="42"/>
        <v>0</v>
      </c>
      <c r="J110" s="112">
        <f t="shared" si="42"/>
        <v>0</v>
      </c>
      <c r="K110" s="112">
        <f t="shared" si="42"/>
        <v>0</v>
      </c>
      <c r="L110" s="112">
        <f t="shared" si="42"/>
        <v>0</v>
      </c>
      <c r="M110" s="142">
        <f>M111+M112</f>
        <v>45150</v>
      </c>
      <c r="N110" s="185"/>
    </row>
    <row r="111" spans="1:14" s="4" customFormat="1" ht="45">
      <c r="A111" s="7"/>
      <c r="B111" s="9"/>
      <c r="C111" s="15">
        <v>2030</v>
      </c>
      <c r="D111" s="16" t="s">
        <v>31</v>
      </c>
      <c r="E111" s="106">
        <v>39300</v>
      </c>
      <c r="F111" s="236">
        <v>4350</v>
      </c>
      <c r="G111" s="138"/>
      <c r="H111" s="138"/>
      <c r="I111" s="138"/>
      <c r="J111" s="138"/>
      <c r="K111" s="138"/>
      <c r="L111" s="138"/>
      <c r="M111" s="139">
        <f>E111+F111+G111+H111+I111+J111+K111+L111</f>
        <v>43650</v>
      </c>
      <c r="N111" s="186" t="s">
        <v>476</v>
      </c>
    </row>
    <row r="112" spans="1:14" s="119" customFormat="1" ht="12.75">
      <c r="A112" s="7"/>
      <c r="B112" s="7"/>
      <c r="C112" s="10" t="s">
        <v>23</v>
      </c>
      <c r="D112" s="11" t="s">
        <v>24</v>
      </c>
      <c r="E112" s="106">
        <v>1500</v>
      </c>
      <c r="F112" s="236"/>
      <c r="G112" s="138"/>
      <c r="H112" s="138"/>
      <c r="I112" s="138"/>
      <c r="J112" s="138"/>
      <c r="K112" s="138"/>
      <c r="L112" s="138"/>
      <c r="M112" s="139">
        <f>E112+F112+G112+H112+I112+J112+K112+L112</f>
        <v>1500</v>
      </c>
      <c r="N112" s="186"/>
    </row>
    <row r="113" spans="1:14" s="119" customFormat="1" ht="12.75">
      <c r="A113" s="7"/>
      <c r="B113" s="14">
        <v>85228</v>
      </c>
      <c r="C113" s="14"/>
      <c r="D113" s="17" t="s">
        <v>175</v>
      </c>
      <c r="E113" s="206">
        <f>E114</f>
        <v>5000</v>
      </c>
      <c r="F113" s="235">
        <f>F114</f>
        <v>0</v>
      </c>
      <c r="G113" s="138"/>
      <c r="H113" s="138"/>
      <c r="I113" s="138"/>
      <c r="J113" s="138"/>
      <c r="K113" s="138"/>
      <c r="L113" s="138"/>
      <c r="M113" s="144">
        <f>M114</f>
        <v>5000</v>
      </c>
      <c r="N113" s="186"/>
    </row>
    <row r="114" spans="1:14" s="119" customFormat="1" ht="12.75">
      <c r="A114" s="7"/>
      <c r="B114" s="7"/>
      <c r="C114" s="10" t="s">
        <v>138</v>
      </c>
      <c r="D114" s="11" t="s">
        <v>139</v>
      </c>
      <c r="E114" s="106">
        <v>5000</v>
      </c>
      <c r="F114" s="236"/>
      <c r="G114" s="138"/>
      <c r="H114" s="138"/>
      <c r="I114" s="138"/>
      <c r="J114" s="138"/>
      <c r="K114" s="138"/>
      <c r="L114" s="138"/>
      <c r="M114" s="139">
        <f>E114+F114+G114+H114+I114+J114+K114+L114</f>
        <v>5000</v>
      </c>
      <c r="N114" s="186"/>
    </row>
    <row r="115" spans="1:14" s="120" customFormat="1" ht="16.5" customHeight="1">
      <c r="A115" s="109"/>
      <c r="B115" s="109">
        <v>85295</v>
      </c>
      <c r="C115" s="109"/>
      <c r="D115" s="18" t="s">
        <v>34</v>
      </c>
      <c r="E115" s="113">
        <f aca="true" t="shared" si="43" ref="E115:M115">E116</f>
        <v>24000</v>
      </c>
      <c r="F115" s="235">
        <f t="shared" si="43"/>
        <v>0</v>
      </c>
      <c r="G115" s="112">
        <f t="shared" si="43"/>
        <v>0</v>
      </c>
      <c r="H115" s="112">
        <f t="shared" si="43"/>
        <v>0</v>
      </c>
      <c r="I115" s="112">
        <f t="shared" si="43"/>
        <v>0</v>
      </c>
      <c r="J115" s="112">
        <f t="shared" si="43"/>
        <v>0</v>
      </c>
      <c r="K115" s="112">
        <f t="shared" si="43"/>
        <v>0</v>
      </c>
      <c r="L115" s="112">
        <f t="shared" si="43"/>
        <v>0</v>
      </c>
      <c r="M115" s="144">
        <f t="shared" si="43"/>
        <v>24000</v>
      </c>
      <c r="N115" s="185"/>
    </row>
    <row r="116" spans="1:14" s="119" customFormat="1" ht="25.5">
      <c r="A116" s="7"/>
      <c r="B116" s="7"/>
      <c r="C116" s="15">
        <v>2030</v>
      </c>
      <c r="D116" s="16" t="s">
        <v>31</v>
      </c>
      <c r="E116" s="106">
        <v>24000</v>
      </c>
      <c r="F116" s="236"/>
      <c r="G116" s="138"/>
      <c r="H116" s="138"/>
      <c r="I116" s="138"/>
      <c r="J116" s="138"/>
      <c r="K116" s="138"/>
      <c r="L116" s="138"/>
      <c r="M116" s="139">
        <f>E116+F116+G116+H116+I116+J116+K116+L116</f>
        <v>24000</v>
      </c>
      <c r="N116" s="186"/>
    </row>
    <row r="117" spans="1:14" s="4" customFormat="1" ht="12.75" customHeight="1" hidden="1">
      <c r="A117" s="5">
        <v>854</v>
      </c>
      <c r="B117" s="5"/>
      <c r="C117" s="5"/>
      <c r="D117" s="6" t="s">
        <v>177</v>
      </c>
      <c r="E117" s="100">
        <f>E118</f>
        <v>9866</v>
      </c>
      <c r="F117" s="233">
        <f>F118</f>
        <v>0</v>
      </c>
      <c r="G117" s="140">
        <f aca="true" t="shared" si="44" ref="G117:L117">G118</f>
        <v>0</v>
      </c>
      <c r="H117" s="140">
        <f t="shared" si="44"/>
        <v>0</v>
      </c>
      <c r="I117" s="140">
        <f t="shared" si="44"/>
        <v>0</v>
      </c>
      <c r="J117" s="140">
        <f t="shared" si="44"/>
        <v>0</v>
      </c>
      <c r="K117" s="140">
        <f t="shared" si="44"/>
        <v>0</v>
      </c>
      <c r="L117" s="140">
        <f t="shared" si="44"/>
        <v>0</v>
      </c>
      <c r="M117" s="100">
        <f>M118</f>
        <v>9866</v>
      </c>
      <c r="N117" s="184"/>
    </row>
    <row r="118" spans="1:14" s="119" customFormat="1" ht="36.75" customHeight="1" hidden="1">
      <c r="A118" s="7"/>
      <c r="B118" s="7">
        <v>85415</v>
      </c>
      <c r="C118" s="15"/>
      <c r="D118" s="190" t="s">
        <v>178</v>
      </c>
      <c r="E118" s="113">
        <f aca="true" t="shared" si="45" ref="E118:L118">E119</f>
        <v>9866</v>
      </c>
      <c r="F118" s="235">
        <f t="shared" si="45"/>
        <v>0</v>
      </c>
      <c r="G118" s="112">
        <f t="shared" si="45"/>
        <v>0</v>
      </c>
      <c r="H118" s="112">
        <f t="shared" si="45"/>
        <v>0</v>
      </c>
      <c r="I118" s="112">
        <f t="shared" si="45"/>
        <v>0</v>
      </c>
      <c r="J118" s="112">
        <f t="shared" si="45"/>
        <v>0</v>
      </c>
      <c r="K118" s="112">
        <f t="shared" si="45"/>
        <v>0</v>
      </c>
      <c r="L118" s="112">
        <f t="shared" si="45"/>
        <v>0</v>
      </c>
      <c r="M118" s="144">
        <f>M119</f>
        <v>9866</v>
      </c>
      <c r="N118" s="428"/>
    </row>
    <row r="119" spans="1:14" s="119" customFormat="1" ht="29.25" customHeight="1" hidden="1">
      <c r="A119" s="7"/>
      <c r="B119" s="7"/>
      <c r="C119" s="15">
        <v>2030</v>
      </c>
      <c r="D119" s="16" t="s">
        <v>31</v>
      </c>
      <c r="E119" s="429">
        <v>9866</v>
      </c>
      <c r="F119" s="236"/>
      <c r="G119" s="145"/>
      <c r="H119" s="211"/>
      <c r="I119" s="145"/>
      <c r="J119" s="145"/>
      <c r="K119" s="145"/>
      <c r="L119" s="145"/>
      <c r="M119" s="139">
        <f>E119+F119+G119+H119+I119+J119+K119+L119</f>
        <v>9866</v>
      </c>
      <c r="N119" s="428"/>
    </row>
    <row r="120" spans="1:14" s="4" customFormat="1" ht="39" customHeight="1" hidden="1">
      <c r="A120" s="5">
        <v>900</v>
      </c>
      <c r="B120" s="5"/>
      <c r="C120" s="5"/>
      <c r="D120" s="6" t="s">
        <v>35</v>
      </c>
      <c r="E120" s="100">
        <f>E121+E123</f>
        <v>4200</v>
      </c>
      <c r="F120" s="233">
        <f>F121+F123</f>
        <v>0</v>
      </c>
      <c r="G120" s="140">
        <f aca="true" t="shared" si="46" ref="G120:L120">G121+G123</f>
        <v>0</v>
      </c>
      <c r="H120" s="140">
        <f t="shared" si="46"/>
        <v>0</v>
      </c>
      <c r="I120" s="140">
        <f t="shared" si="46"/>
        <v>0</v>
      </c>
      <c r="J120" s="140">
        <f t="shared" si="46"/>
        <v>0</v>
      </c>
      <c r="K120" s="140">
        <f t="shared" si="46"/>
        <v>0</v>
      </c>
      <c r="L120" s="140">
        <f t="shared" si="46"/>
        <v>0</v>
      </c>
      <c r="M120" s="100">
        <f>M121+M123</f>
        <v>4200</v>
      </c>
      <c r="N120" s="184"/>
    </row>
    <row r="121" spans="1:14" s="4" customFormat="1" ht="12.75" hidden="1">
      <c r="A121" s="7"/>
      <c r="B121" s="7">
        <v>90011</v>
      </c>
      <c r="C121" s="7"/>
      <c r="D121" s="8" t="s">
        <v>2</v>
      </c>
      <c r="E121" s="113">
        <f aca="true" t="shared" si="47" ref="E121:M121">SUM(E122:E122)</f>
        <v>3000</v>
      </c>
      <c r="F121" s="235">
        <f t="shared" si="47"/>
        <v>0</v>
      </c>
      <c r="G121" s="112">
        <f t="shared" si="47"/>
        <v>0</v>
      </c>
      <c r="H121" s="112">
        <f t="shared" si="47"/>
        <v>0</v>
      </c>
      <c r="I121" s="112">
        <f t="shared" si="47"/>
        <v>0</v>
      </c>
      <c r="J121" s="112">
        <f t="shared" si="47"/>
        <v>0</v>
      </c>
      <c r="K121" s="112">
        <f t="shared" si="47"/>
        <v>0</v>
      </c>
      <c r="L121" s="112">
        <f t="shared" si="47"/>
        <v>0</v>
      </c>
      <c r="M121" s="142">
        <f t="shared" si="47"/>
        <v>3000</v>
      </c>
      <c r="N121" s="185"/>
    </row>
    <row r="122" spans="1:14" s="4" customFormat="1" ht="12.75" hidden="1">
      <c r="A122" s="9"/>
      <c r="B122" s="9"/>
      <c r="C122" s="10" t="s">
        <v>3</v>
      </c>
      <c r="D122" s="11" t="s">
        <v>4</v>
      </c>
      <c r="E122" s="106">
        <v>3000</v>
      </c>
      <c r="F122" s="236"/>
      <c r="G122" s="138"/>
      <c r="H122" s="138"/>
      <c r="I122" s="138"/>
      <c r="J122" s="138"/>
      <c r="K122" s="138"/>
      <c r="L122" s="138"/>
      <c r="M122" s="139">
        <f>E122+F122+G122+H122+I122+J122+K122+L122</f>
        <v>3000</v>
      </c>
      <c r="N122" s="186"/>
    </row>
    <row r="123" spans="1:14" s="4" customFormat="1" ht="12.75" hidden="1">
      <c r="A123" s="9"/>
      <c r="B123" s="7">
        <v>90095</v>
      </c>
      <c r="C123" s="7"/>
      <c r="D123" s="8" t="s">
        <v>34</v>
      </c>
      <c r="E123" s="113">
        <f>E124</f>
        <v>1200</v>
      </c>
      <c r="F123" s="235">
        <f>F124</f>
        <v>0</v>
      </c>
      <c r="G123" s="112">
        <f aca="true" t="shared" si="48" ref="G123:L123">G124</f>
        <v>0</v>
      </c>
      <c r="H123" s="112">
        <f t="shared" si="48"/>
        <v>0</v>
      </c>
      <c r="I123" s="112">
        <f t="shared" si="48"/>
        <v>0</v>
      </c>
      <c r="J123" s="112">
        <f t="shared" si="48"/>
        <v>0</v>
      </c>
      <c r="K123" s="112">
        <f t="shared" si="48"/>
        <v>0</v>
      </c>
      <c r="L123" s="112">
        <f t="shared" si="48"/>
        <v>0</v>
      </c>
      <c r="M123" s="144">
        <f>M124</f>
        <v>1200</v>
      </c>
      <c r="N123" s="185"/>
    </row>
    <row r="124" spans="1:14" s="4" customFormat="1" ht="12.75" hidden="1">
      <c r="A124" s="9"/>
      <c r="B124" s="14"/>
      <c r="C124" s="10" t="s">
        <v>138</v>
      </c>
      <c r="D124" s="11" t="s">
        <v>139</v>
      </c>
      <c r="E124" s="106">
        <v>1200</v>
      </c>
      <c r="F124" s="236"/>
      <c r="G124" s="138"/>
      <c r="H124" s="138"/>
      <c r="I124" s="138"/>
      <c r="J124" s="138"/>
      <c r="K124" s="138"/>
      <c r="L124" s="138"/>
      <c r="M124" s="139">
        <f>E124+F124+G124+H124+I124+J124+K124+L124</f>
        <v>1200</v>
      </c>
      <c r="N124" s="186"/>
    </row>
    <row r="125" spans="1:14" s="4" customFormat="1" ht="12.75" customHeight="1">
      <c r="A125" s="204">
        <v>926</v>
      </c>
      <c r="B125" s="182"/>
      <c r="C125" s="182"/>
      <c r="D125" s="183" t="s">
        <v>13</v>
      </c>
      <c r="E125" s="143">
        <f>E129</f>
        <v>333000</v>
      </c>
      <c r="F125" s="233">
        <f>F126+F129</f>
        <v>333000</v>
      </c>
      <c r="G125" s="205">
        <f aca="true" t="shared" si="49" ref="G125:L125">G129</f>
        <v>0</v>
      </c>
      <c r="H125" s="205">
        <f t="shared" si="49"/>
        <v>0</v>
      </c>
      <c r="I125" s="205">
        <f t="shared" si="49"/>
        <v>0</v>
      </c>
      <c r="J125" s="205">
        <f t="shared" si="49"/>
        <v>0</v>
      </c>
      <c r="K125" s="205">
        <f t="shared" si="49"/>
        <v>0</v>
      </c>
      <c r="L125" s="205">
        <f t="shared" si="49"/>
        <v>0</v>
      </c>
      <c r="M125" s="143">
        <f>M126+M129</f>
        <v>666000</v>
      </c>
      <c r="N125" s="184"/>
    </row>
    <row r="126" spans="1:14" s="110" customFormat="1" ht="12.75" customHeight="1">
      <c r="A126" s="33"/>
      <c r="B126" s="14">
        <v>92601</v>
      </c>
      <c r="C126" s="14"/>
      <c r="D126" s="17" t="s">
        <v>477</v>
      </c>
      <c r="E126" s="430">
        <v>0</v>
      </c>
      <c r="F126" s="425">
        <f>SUM(F127:F128)</f>
        <v>666000</v>
      </c>
      <c r="G126" s="431"/>
      <c r="H126" s="431"/>
      <c r="I126" s="431"/>
      <c r="J126" s="431"/>
      <c r="K126" s="431"/>
      <c r="L126" s="431"/>
      <c r="M126" s="144">
        <f>SUM(M127:M128)</f>
        <v>666000</v>
      </c>
      <c r="N126" s="187"/>
    </row>
    <row r="127" spans="1:14" s="110" customFormat="1" ht="51">
      <c r="A127" s="33"/>
      <c r="B127" s="36"/>
      <c r="C127" s="111">
        <v>6300</v>
      </c>
      <c r="D127" s="131" t="s">
        <v>176</v>
      </c>
      <c r="E127" s="430"/>
      <c r="F127" s="432">
        <v>333000</v>
      </c>
      <c r="G127" s="431"/>
      <c r="H127" s="431"/>
      <c r="I127" s="431"/>
      <c r="J127" s="431"/>
      <c r="K127" s="431"/>
      <c r="L127" s="431"/>
      <c r="M127" s="139">
        <f>E127+F127+G127+H127+I127+J127+K127+L127</f>
        <v>333000</v>
      </c>
      <c r="N127" s="433" t="s">
        <v>478</v>
      </c>
    </row>
    <row r="128" spans="1:14" s="110" customFormat="1" ht="63" customHeight="1">
      <c r="A128" s="33"/>
      <c r="B128" s="36"/>
      <c r="C128" s="111">
        <v>6330</v>
      </c>
      <c r="D128" s="131" t="s">
        <v>141</v>
      </c>
      <c r="E128" s="430"/>
      <c r="F128" s="432">
        <v>333000</v>
      </c>
      <c r="G128" s="431"/>
      <c r="H128" s="431"/>
      <c r="I128" s="431"/>
      <c r="J128" s="431"/>
      <c r="K128" s="431"/>
      <c r="L128" s="431"/>
      <c r="M128" s="139">
        <f>E128+F128+G128+H128+I128+J128+K128+L128</f>
        <v>333000</v>
      </c>
      <c r="N128" s="433" t="s">
        <v>479</v>
      </c>
    </row>
    <row r="129" spans="1:14" s="4" customFormat="1" ht="25.5" customHeight="1">
      <c r="A129" s="24"/>
      <c r="B129" s="14">
        <v>92605</v>
      </c>
      <c r="C129" s="14"/>
      <c r="D129" s="17" t="s">
        <v>14</v>
      </c>
      <c r="E129" s="206">
        <f aca="true" t="shared" si="50" ref="E129:M129">E130</f>
        <v>333000</v>
      </c>
      <c r="F129" s="234">
        <f t="shared" si="50"/>
        <v>-333000</v>
      </c>
      <c r="G129" s="207">
        <f t="shared" si="50"/>
        <v>0</v>
      </c>
      <c r="H129" s="207">
        <f t="shared" si="50"/>
        <v>0</v>
      </c>
      <c r="I129" s="207">
        <f t="shared" si="50"/>
        <v>0</v>
      </c>
      <c r="J129" s="207">
        <f t="shared" si="50"/>
        <v>0</v>
      </c>
      <c r="K129" s="207">
        <f t="shared" si="50"/>
        <v>0</v>
      </c>
      <c r="L129" s="207">
        <f t="shared" si="50"/>
        <v>0</v>
      </c>
      <c r="M129" s="144">
        <f t="shared" si="50"/>
        <v>0</v>
      </c>
      <c r="N129" s="185"/>
    </row>
    <row r="130" spans="1:14" s="4" customFormat="1" ht="38.25">
      <c r="A130" s="24"/>
      <c r="B130" s="14"/>
      <c r="C130" s="111">
        <v>2710</v>
      </c>
      <c r="D130" s="131" t="s">
        <v>234</v>
      </c>
      <c r="E130" s="106">
        <v>333000</v>
      </c>
      <c r="F130" s="225">
        <v>-333000</v>
      </c>
      <c r="G130" s="138"/>
      <c r="H130" s="138"/>
      <c r="I130" s="138"/>
      <c r="J130" s="138"/>
      <c r="K130" s="138"/>
      <c r="L130" s="138"/>
      <c r="M130" s="139">
        <f>E130+F130+G130+H130+I130+J130+K130+L130</f>
        <v>0</v>
      </c>
      <c r="N130" s="186" t="s">
        <v>480</v>
      </c>
    </row>
    <row r="131" spans="1:14" s="4" customFormat="1" ht="12.75" customHeight="1" hidden="1">
      <c r="A131" s="191">
        <v>921</v>
      </c>
      <c r="B131" s="5"/>
      <c r="C131" s="5"/>
      <c r="D131" s="6" t="s">
        <v>179</v>
      </c>
      <c r="E131" s="100">
        <f aca="true" t="shared" si="51" ref="E131:L132">E132</f>
        <v>0</v>
      </c>
      <c r="F131" s="233">
        <f t="shared" si="51"/>
        <v>0</v>
      </c>
      <c r="G131" s="140">
        <f t="shared" si="51"/>
        <v>0</v>
      </c>
      <c r="H131" s="140">
        <f t="shared" si="51"/>
        <v>0</v>
      </c>
      <c r="I131" s="140">
        <f t="shared" si="51"/>
        <v>0</v>
      </c>
      <c r="J131" s="140">
        <f t="shared" si="51"/>
        <v>0</v>
      </c>
      <c r="K131" s="140">
        <f t="shared" si="51"/>
        <v>0</v>
      </c>
      <c r="L131" s="140">
        <f t="shared" si="51"/>
        <v>0</v>
      </c>
      <c r="M131" s="143">
        <f>M132</f>
        <v>0</v>
      </c>
      <c r="N131" s="184"/>
    </row>
    <row r="132" spans="1:14" s="4" customFormat="1" ht="12.75" customHeight="1" hidden="1">
      <c r="A132" s="9"/>
      <c r="B132" s="7">
        <v>92116</v>
      </c>
      <c r="C132" s="7"/>
      <c r="D132" s="8" t="s">
        <v>180</v>
      </c>
      <c r="E132" s="113">
        <f t="shared" si="51"/>
        <v>0</v>
      </c>
      <c r="F132" s="235">
        <f t="shared" si="51"/>
        <v>0</v>
      </c>
      <c r="G132" s="112">
        <f t="shared" si="51"/>
        <v>0</v>
      </c>
      <c r="H132" s="112">
        <f t="shared" si="51"/>
        <v>0</v>
      </c>
      <c r="I132" s="112">
        <f t="shared" si="51"/>
        <v>0</v>
      </c>
      <c r="J132" s="112">
        <f t="shared" si="51"/>
        <v>0</v>
      </c>
      <c r="K132" s="112">
        <f t="shared" si="51"/>
        <v>0</v>
      </c>
      <c r="L132" s="112">
        <f t="shared" si="51"/>
        <v>0</v>
      </c>
      <c r="M132" s="144">
        <f>M133</f>
        <v>0</v>
      </c>
      <c r="N132" s="185"/>
    </row>
    <row r="133" spans="1:14" s="4" customFormat="1" ht="38.25" customHeight="1" hidden="1">
      <c r="A133" s="9"/>
      <c r="B133" s="7"/>
      <c r="C133" s="15">
        <v>2020</v>
      </c>
      <c r="D133" s="16" t="s">
        <v>199</v>
      </c>
      <c r="E133" s="106"/>
      <c r="F133" s="236"/>
      <c r="G133" s="138"/>
      <c r="H133" s="138"/>
      <c r="I133" s="138"/>
      <c r="J133" s="138"/>
      <c r="K133" s="138"/>
      <c r="L133" s="138"/>
      <c r="M133" s="139">
        <f>E133+F133+G133+H133+I133+J133+K133</f>
        <v>0</v>
      </c>
      <c r="N133" s="186"/>
    </row>
    <row r="134" spans="1:14" s="105" customFormat="1" ht="15.75">
      <c r="A134" s="121"/>
      <c r="B134" s="122"/>
      <c r="C134" s="122"/>
      <c r="D134" s="121" t="s">
        <v>79</v>
      </c>
      <c r="E134" s="238"/>
      <c r="F134" s="238">
        <f aca="true" t="shared" si="52" ref="F134:L134">F9+F15+F23+F31+F38+F41+F71+F81+F99+F120+F131+F117+F5+F125</f>
        <v>465574</v>
      </c>
      <c r="G134" s="146">
        <f t="shared" si="52"/>
        <v>0</v>
      </c>
      <c r="H134" s="146">
        <f t="shared" si="52"/>
        <v>0</v>
      </c>
      <c r="I134" s="146">
        <f t="shared" si="52"/>
        <v>0</v>
      </c>
      <c r="J134" s="146">
        <f t="shared" si="52"/>
        <v>0</v>
      </c>
      <c r="K134" s="146">
        <f t="shared" si="52"/>
        <v>0</v>
      </c>
      <c r="L134" s="146">
        <f t="shared" si="52"/>
        <v>0</v>
      </c>
      <c r="M134" s="238"/>
      <c r="N134" s="184"/>
    </row>
    <row r="135" spans="5:14" s="4" customFormat="1" ht="12.75">
      <c r="E135" s="115"/>
      <c r="F135" s="434"/>
      <c r="G135" s="147"/>
      <c r="H135" s="147"/>
      <c r="I135" s="147"/>
      <c r="J135" s="147"/>
      <c r="K135" s="147"/>
      <c r="L135" s="147"/>
      <c r="M135" s="110"/>
      <c r="N135" s="192"/>
    </row>
    <row r="136" spans="5:14" s="4" customFormat="1" ht="12.75">
      <c r="E136" s="116"/>
      <c r="F136" s="435"/>
      <c r="G136" s="116"/>
      <c r="H136" s="116"/>
      <c r="I136" s="116"/>
      <c r="J136" s="116"/>
      <c r="K136" s="116"/>
      <c r="L136" s="116"/>
      <c r="M136" s="116"/>
      <c r="N136" s="193"/>
    </row>
    <row r="137" spans="4:14" s="4" customFormat="1" ht="12.75">
      <c r="D137" s="239"/>
      <c r="E137" s="123"/>
      <c r="F137" s="436"/>
      <c r="G137" s="123"/>
      <c r="H137" s="123"/>
      <c r="I137" s="123"/>
      <c r="J137" s="123"/>
      <c r="K137" s="123"/>
      <c r="L137" s="123"/>
      <c r="M137" s="123"/>
      <c r="N137" s="194"/>
    </row>
    <row r="138" spans="4:14" s="4" customFormat="1" ht="12.75">
      <c r="D138" s="119"/>
      <c r="E138" s="116"/>
      <c r="F138" s="435"/>
      <c r="G138" s="148"/>
      <c r="H138" s="148"/>
      <c r="I138" s="148"/>
      <c r="J138" s="148"/>
      <c r="K138" s="148"/>
      <c r="L138" s="148"/>
      <c r="M138" s="116"/>
      <c r="N138" s="193"/>
    </row>
    <row r="139" spans="4:14" s="4" customFormat="1" ht="12.75">
      <c r="D139" s="119"/>
      <c r="E139" s="116"/>
      <c r="F139" s="435"/>
      <c r="G139" s="148"/>
      <c r="H139" s="148"/>
      <c r="I139" s="148"/>
      <c r="J139" s="148"/>
      <c r="K139" s="148"/>
      <c r="L139" s="148"/>
      <c r="M139" s="149"/>
      <c r="N139" s="193"/>
    </row>
    <row r="140" spans="5:14" ht="12.75">
      <c r="E140" s="124"/>
      <c r="F140" s="437"/>
      <c r="G140" s="150"/>
      <c r="H140" s="150"/>
      <c r="I140" s="150"/>
      <c r="J140" s="150"/>
      <c r="K140" s="150"/>
      <c r="L140" s="150"/>
      <c r="M140" s="151"/>
      <c r="N140" s="195"/>
    </row>
    <row r="141" ht="12.75">
      <c r="M141" s="2"/>
    </row>
    <row r="142" spans="5:14" ht="12.75">
      <c r="E142" s="124"/>
      <c r="F142" s="437"/>
      <c r="G142" s="150"/>
      <c r="H142" s="150"/>
      <c r="I142" s="150"/>
      <c r="J142" s="150"/>
      <c r="K142" s="150"/>
      <c r="L142" s="150"/>
      <c r="M142" s="2"/>
      <c r="N142" s="195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  <row r="4035" ht="12.75">
      <c r="M4035" s="2"/>
    </row>
    <row r="4036" ht="12.75">
      <c r="M4036" s="2"/>
    </row>
    <row r="4037" ht="12.75">
      <c r="M4037" s="2"/>
    </row>
    <row r="4038" ht="12.75">
      <c r="M4038" s="2"/>
    </row>
    <row r="4039" ht="12.75">
      <c r="M4039" s="2"/>
    </row>
    <row r="4040" ht="12.75">
      <c r="M4040" s="2"/>
    </row>
    <row r="4041" ht="12.75">
      <c r="M4041" s="2"/>
    </row>
    <row r="4042" ht="12.75">
      <c r="M4042" s="2"/>
    </row>
    <row r="4043" ht="12.75">
      <c r="M4043" s="2"/>
    </row>
  </sheetData>
  <sheetProtection/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0"/>
  <sheetViews>
    <sheetView zoomScale="150" zoomScaleNormal="150" zoomScalePageLayoutView="0" workbookViewId="0" topLeftCell="A301">
      <selection activeCell="A1" sqref="A1:IV16384"/>
    </sheetView>
  </sheetViews>
  <sheetFormatPr defaultColWidth="9.140625" defaultRowHeight="28.5" customHeight="1"/>
  <cols>
    <col min="1" max="1" width="2.140625" style="46" customWidth="1"/>
    <col min="2" max="2" width="3.8515625" style="46" customWidth="1"/>
    <col min="3" max="3" width="7.140625" style="46" customWidth="1"/>
    <col min="4" max="4" width="5.140625" style="46" customWidth="1"/>
    <col min="5" max="5" width="33.00390625" style="46" customWidth="1"/>
    <col min="6" max="6" width="16.7109375" style="46" customWidth="1"/>
    <col min="7" max="7" width="15.57421875" style="446" customWidth="1"/>
    <col min="8" max="8" width="12.00390625" style="98" hidden="1" customWidth="1"/>
    <col min="9" max="9" width="13.00390625" style="98" hidden="1" customWidth="1"/>
    <col min="10" max="10" width="12.421875" style="98" hidden="1" customWidth="1"/>
    <col min="11" max="11" width="10.421875" style="98" hidden="1" customWidth="1"/>
    <col min="12" max="12" width="13.00390625" style="46" hidden="1" customWidth="1"/>
    <col min="13" max="13" width="15.140625" style="98" hidden="1" customWidth="1"/>
    <col min="14" max="14" width="12.140625" style="98" hidden="1" customWidth="1"/>
    <col min="15" max="15" width="17.140625" style="165" customWidth="1"/>
    <col min="16" max="16" width="46.8515625" style="201" customWidth="1"/>
    <col min="17" max="16384" width="9.140625" style="46" customWidth="1"/>
  </cols>
  <sheetData>
    <row r="1" spans="2:16" ht="21">
      <c r="B1" s="43" t="s">
        <v>247</v>
      </c>
      <c r="C1" s="44"/>
      <c r="D1" s="45"/>
      <c r="F1" s="47"/>
      <c r="G1" s="438"/>
      <c r="H1" s="48"/>
      <c r="I1" s="48"/>
      <c r="J1" s="48"/>
      <c r="K1" s="48"/>
      <c r="L1" s="47"/>
      <c r="M1" s="48"/>
      <c r="N1" s="48"/>
      <c r="O1" s="153"/>
      <c r="P1" s="419" t="s">
        <v>481</v>
      </c>
    </row>
    <row r="2" spans="2:16" ht="13.5" thickBot="1">
      <c r="B2" s="43"/>
      <c r="C2" s="44"/>
      <c r="D2" s="45"/>
      <c r="F2" s="47"/>
      <c r="G2" s="438"/>
      <c r="H2" s="48"/>
      <c r="I2" s="48"/>
      <c r="J2" s="48"/>
      <c r="K2" s="48"/>
      <c r="L2" s="47"/>
      <c r="M2" s="48"/>
      <c r="N2" s="48"/>
      <c r="O2" s="153"/>
      <c r="P2" s="240"/>
    </row>
    <row r="3" spans="2:16" s="49" customFormat="1" ht="48" customHeight="1" thickBot="1">
      <c r="B3" s="154" t="s">
        <v>15</v>
      </c>
      <c r="C3" s="155" t="s">
        <v>36</v>
      </c>
      <c r="D3" s="155" t="s">
        <v>17</v>
      </c>
      <c r="E3" s="155" t="s">
        <v>18</v>
      </c>
      <c r="F3" s="155" t="s">
        <v>248</v>
      </c>
      <c r="G3" s="439" t="s">
        <v>19</v>
      </c>
      <c r="H3" s="157"/>
      <c r="I3" s="157"/>
      <c r="J3" s="157"/>
      <c r="K3" s="157" t="s">
        <v>8</v>
      </c>
      <c r="L3" s="156"/>
      <c r="M3" s="157"/>
      <c r="N3" s="157" t="s">
        <v>8</v>
      </c>
      <c r="O3" s="158" t="s">
        <v>9</v>
      </c>
      <c r="P3" s="168" t="s">
        <v>20</v>
      </c>
    </row>
    <row r="4" spans="2:16" ht="12.75">
      <c r="B4" s="125"/>
      <c r="C4" s="126"/>
      <c r="D4" s="126"/>
      <c r="E4" s="126"/>
      <c r="F4" s="126"/>
      <c r="G4" s="440"/>
      <c r="H4" s="159"/>
      <c r="I4" s="159"/>
      <c r="J4" s="159"/>
      <c r="K4" s="159"/>
      <c r="L4" s="159"/>
      <c r="M4" s="159"/>
      <c r="N4" s="159"/>
      <c r="O4" s="126"/>
      <c r="P4" s="213"/>
    </row>
    <row r="5" spans="2:16" ht="12.75">
      <c r="B5" s="127" t="s">
        <v>37</v>
      </c>
      <c r="C5" s="22"/>
      <c r="D5" s="22"/>
      <c r="E5" s="23" t="s">
        <v>38</v>
      </c>
      <c r="F5" s="55">
        <f>F6+F10+F13+F15+F17</f>
        <v>590473</v>
      </c>
      <c r="G5" s="241">
        <f>G6+G10+G13+G15+G17</f>
        <v>-74000</v>
      </c>
      <c r="H5" s="108">
        <f aca="true" t="shared" si="0" ref="H5:N5">H6+H10+H13+H15+H17</f>
        <v>0</v>
      </c>
      <c r="I5" s="108">
        <f t="shared" si="0"/>
        <v>0</v>
      </c>
      <c r="J5" s="108">
        <f t="shared" si="0"/>
        <v>0</v>
      </c>
      <c r="K5" s="108">
        <f t="shared" si="0"/>
        <v>0</v>
      </c>
      <c r="L5" s="108">
        <f t="shared" si="0"/>
        <v>0</v>
      </c>
      <c r="M5" s="108">
        <f t="shared" si="0"/>
        <v>0</v>
      </c>
      <c r="N5" s="108">
        <f t="shared" si="0"/>
        <v>0</v>
      </c>
      <c r="O5" s="55">
        <f>O6+O10+O13+O15+O17</f>
        <v>516473</v>
      </c>
      <c r="P5" s="214"/>
    </row>
    <row r="6" spans="2:16" s="49" customFormat="1" ht="12.75">
      <c r="B6" s="24"/>
      <c r="C6" s="25" t="s">
        <v>181</v>
      </c>
      <c r="D6" s="14"/>
      <c r="E6" s="17" t="s">
        <v>182</v>
      </c>
      <c r="F6" s="57">
        <f>SUM(F7:F9)</f>
        <v>60000</v>
      </c>
      <c r="G6" s="222">
        <f>SUM(G7:G9)</f>
        <v>0</v>
      </c>
      <c r="H6" s="58">
        <f aca="true" t="shared" si="1" ref="H6:N6">SUM(H7:H9)</f>
        <v>0</v>
      </c>
      <c r="I6" s="58">
        <f t="shared" si="1"/>
        <v>0</v>
      </c>
      <c r="J6" s="58">
        <f t="shared" si="1"/>
        <v>0</v>
      </c>
      <c r="K6" s="58">
        <f t="shared" si="1"/>
        <v>0</v>
      </c>
      <c r="L6" s="58">
        <f t="shared" si="1"/>
        <v>0</v>
      </c>
      <c r="M6" s="58">
        <f t="shared" si="1"/>
        <v>0</v>
      </c>
      <c r="N6" s="58">
        <f t="shared" si="1"/>
        <v>0</v>
      </c>
      <c r="O6" s="160">
        <f>SUM(O7:O9)</f>
        <v>60000</v>
      </c>
      <c r="P6" s="215"/>
    </row>
    <row r="7" spans="2:16" s="49" customFormat="1" ht="12.75">
      <c r="B7" s="24"/>
      <c r="C7" s="26"/>
      <c r="D7" s="27">
        <v>4210</v>
      </c>
      <c r="E7" s="28" t="s">
        <v>39</v>
      </c>
      <c r="F7" s="42">
        <v>5000</v>
      </c>
      <c r="G7" s="365"/>
      <c r="H7" s="82"/>
      <c r="I7" s="82"/>
      <c r="J7" s="82"/>
      <c r="K7" s="82"/>
      <c r="L7" s="82"/>
      <c r="M7" s="82"/>
      <c r="N7" s="82"/>
      <c r="O7" s="128">
        <f>F7+G7+H7+I7+J7+K7+L7+M7+N7</f>
        <v>5000</v>
      </c>
      <c r="P7" s="197"/>
    </row>
    <row r="8" spans="2:16" s="49" customFormat="1" ht="12.75">
      <c r="B8" s="24"/>
      <c r="C8" s="26"/>
      <c r="D8" s="27">
        <v>4270</v>
      </c>
      <c r="E8" s="28" t="s">
        <v>40</v>
      </c>
      <c r="F8" s="42">
        <v>50000</v>
      </c>
      <c r="G8" s="365"/>
      <c r="H8" s="82"/>
      <c r="I8" s="82"/>
      <c r="J8" s="82"/>
      <c r="K8" s="82"/>
      <c r="L8" s="82"/>
      <c r="M8" s="82"/>
      <c r="N8" s="82"/>
      <c r="O8" s="128">
        <f>F8+G8+H8+I8+J8+K8+L8+M8+N8</f>
        <v>50000</v>
      </c>
      <c r="P8" s="197"/>
    </row>
    <row r="9" spans="2:16" s="49" customFormat="1" ht="13.5" customHeight="1">
      <c r="B9" s="24"/>
      <c r="C9" s="26"/>
      <c r="D9" s="27">
        <v>4300</v>
      </c>
      <c r="E9" s="28" t="s">
        <v>41</v>
      </c>
      <c r="F9" s="42">
        <v>5000</v>
      </c>
      <c r="G9" s="365"/>
      <c r="H9" s="82"/>
      <c r="I9" s="82"/>
      <c r="J9" s="82"/>
      <c r="K9" s="82"/>
      <c r="L9" s="82"/>
      <c r="M9" s="82"/>
      <c r="N9" s="82"/>
      <c r="O9" s="128">
        <f>F9+G9+H9+I9+J9+K9+L9+M9+N9</f>
        <v>5000</v>
      </c>
      <c r="P9" s="197"/>
    </row>
    <row r="10" spans="2:16" s="49" customFormat="1" ht="28.5" customHeight="1">
      <c r="B10" s="24"/>
      <c r="C10" s="25" t="s">
        <v>42</v>
      </c>
      <c r="D10" s="14"/>
      <c r="E10" s="17" t="s">
        <v>43</v>
      </c>
      <c r="F10" s="57">
        <f>SUM(F11:F12)</f>
        <v>493693</v>
      </c>
      <c r="G10" s="242">
        <f>SUM(G11:G12)</f>
        <v>-74000</v>
      </c>
      <c r="H10" s="58">
        <f aca="true" t="shared" si="2" ref="H10:N10">SUM(H11:H12)</f>
        <v>0</v>
      </c>
      <c r="I10" s="58">
        <f t="shared" si="2"/>
        <v>0</v>
      </c>
      <c r="J10" s="58">
        <f t="shared" si="2"/>
        <v>0</v>
      </c>
      <c r="K10" s="58">
        <f t="shared" si="2"/>
        <v>0</v>
      </c>
      <c r="L10" s="58">
        <f t="shared" si="2"/>
        <v>0</v>
      </c>
      <c r="M10" s="58">
        <f t="shared" si="2"/>
        <v>0</v>
      </c>
      <c r="N10" s="58">
        <f t="shared" si="2"/>
        <v>0</v>
      </c>
      <c r="O10" s="160">
        <f>SUM(O11:O12)</f>
        <v>419693</v>
      </c>
      <c r="P10" s="215"/>
    </row>
    <row r="11" spans="2:16" s="49" customFormat="1" ht="12.75">
      <c r="B11" s="24"/>
      <c r="C11" s="25"/>
      <c r="D11" s="27">
        <v>4300</v>
      </c>
      <c r="E11" s="28" t="s">
        <v>41</v>
      </c>
      <c r="F11" s="42">
        <v>10000</v>
      </c>
      <c r="G11" s="365"/>
      <c r="H11" s="82"/>
      <c r="I11" s="82"/>
      <c r="J11" s="82"/>
      <c r="K11" s="82"/>
      <c r="L11" s="82"/>
      <c r="M11" s="82"/>
      <c r="N11" s="82"/>
      <c r="O11" s="128">
        <f>F11+G11+H11+I11+J11+K11+L11+M11+N11</f>
        <v>10000</v>
      </c>
      <c r="P11" s="197"/>
    </row>
    <row r="12" spans="2:16" s="49" customFormat="1" ht="25.5">
      <c r="B12" s="29"/>
      <c r="C12" s="26"/>
      <c r="D12" s="27">
        <v>6050</v>
      </c>
      <c r="E12" s="28" t="s">
        <v>44</v>
      </c>
      <c r="F12" s="62">
        <f>75000+20000+19293+40000+10000+30400+74000+145000+70000</f>
        <v>483693</v>
      </c>
      <c r="G12" s="245">
        <v>-74000</v>
      </c>
      <c r="H12" s="64"/>
      <c r="I12" s="64"/>
      <c r="J12" s="64"/>
      <c r="K12" s="64"/>
      <c r="L12" s="64"/>
      <c r="M12" s="64"/>
      <c r="N12" s="64"/>
      <c r="O12" s="128">
        <f>F12+G12+H12+I12+J12+K12+L12+M12+N12</f>
        <v>409693</v>
      </c>
      <c r="P12" s="197" t="s">
        <v>482</v>
      </c>
    </row>
    <row r="13" spans="2:16" s="49" customFormat="1" ht="63.75">
      <c r="B13" s="24"/>
      <c r="C13" s="25" t="s">
        <v>183</v>
      </c>
      <c r="D13" s="14"/>
      <c r="E13" s="17" t="s">
        <v>184</v>
      </c>
      <c r="F13" s="57">
        <f>SUM(F14:F14)</f>
        <v>3000</v>
      </c>
      <c r="G13" s="222">
        <f>SUM(G14:G14)</f>
        <v>0</v>
      </c>
      <c r="H13" s="58">
        <f aca="true" t="shared" si="3" ref="H13:N13">SUM(H14:H14)</f>
        <v>0</v>
      </c>
      <c r="I13" s="58">
        <f t="shared" si="3"/>
        <v>0</v>
      </c>
      <c r="J13" s="58">
        <f t="shared" si="3"/>
        <v>0</v>
      </c>
      <c r="K13" s="58">
        <f t="shared" si="3"/>
        <v>0</v>
      </c>
      <c r="L13" s="58">
        <f t="shared" si="3"/>
        <v>0</v>
      </c>
      <c r="M13" s="58">
        <f t="shared" si="3"/>
        <v>0</v>
      </c>
      <c r="N13" s="58">
        <f t="shared" si="3"/>
        <v>0</v>
      </c>
      <c r="O13" s="160">
        <f>SUM(O14:O14)</f>
        <v>3000</v>
      </c>
      <c r="P13" s="215"/>
    </row>
    <row r="14" spans="2:16" s="49" customFormat="1" ht="14.25" customHeight="1">
      <c r="B14" s="24"/>
      <c r="C14" s="27"/>
      <c r="D14" s="27">
        <v>4300</v>
      </c>
      <c r="E14" s="28" t="s">
        <v>41</v>
      </c>
      <c r="F14" s="42">
        <v>3000</v>
      </c>
      <c r="G14" s="365"/>
      <c r="H14" s="82"/>
      <c r="I14" s="82"/>
      <c r="J14" s="82"/>
      <c r="K14" s="82"/>
      <c r="L14" s="82"/>
      <c r="M14" s="82"/>
      <c r="N14" s="82"/>
      <c r="O14" s="128">
        <f>F14+G14+H14+I14+J14+K14+L14+M14+N14</f>
        <v>3000</v>
      </c>
      <c r="P14" s="197"/>
    </row>
    <row r="15" spans="2:16" s="49" customFormat="1" ht="12.75">
      <c r="B15" s="24"/>
      <c r="C15" s="25" t="s">
        <v>185</v>
      </c>
      <c r="D15" s="27"/>
      <c r="E15" s="17" t="s">
        <v>186</v>
      </c>
      <c r="F15" s="57">
        <f aca="true" t="shared" si="4" ref="F15:N15">SUM(F16)</f>
        <v>22780</v>
      </c>
      <c r="G15" s="222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160">
        <f>SUM(O16)</f>
        <v>22780</v>
      </c>
      <c r="P15" s="215"/>
    </row>
    <row r="16" spans="2:16" s="49" customFormat="1" ht="38.25">
      <c r="B16" s="24"/>
      <c r="C16" s="27"/>
      <c r="D16" s="27">
        <v>2850</v>
      </c>
      <c r="E16" s="28" t="s">
        <v>187</v>
      </c>
      <c r="F16" s="42">
        <v>22780</v>
      </c>
      <c r="G16" s="365"/>
      <c r="H16" s="82"/>
      <c r="I16" s="82"/>
      <c r="J16" s="82"/>
      <c r="K16" s="82"/>
      <c r="L16" s="82"/>
      <c r="M16" s="82"/>
      <c r="N16" s="82"/>
      <c r="O16" s="128">
        <f>F16+G16+H16+I16+J16+K16+L16+M16+N16</f>
        <v>22780</v>
      </c>
      <c r="P16" s="197"/>
    </row>
    <row r="17" spans="2:16" s="49" customFormat="1" ht="12.75">
      <c r="B17" s="24"/>
      <c r="C17" s="25" t="s">
        <v>45</v>
      </c>
      <c r="D17" s="14"/>
      <c r="E17" s="17" t="s">
        <v>34</v>
      </c>
      <c r="F17" s="57">
        <f>SUM(F18:F20)</f>
        <v>11000</v>
      </c>
      <c r="G17" s="222">
        <f>SUM(G18:G20)</f>
        <v>0</v>
      </c>
      <c r="H17" s="58">
        <f aca="true" t="shared" si="5" ref="H17:N17">SUM(H18:H20)</f>
        <v>0</v>
      </c>
      <c r="I17" s="58">
        <f>SUM(I18:I20)</f>
        <v>0</v>
      </c>
      <c r="J17" s="58">
        <f t="shared" si="5"/>
        <v>0</v>
      </c>
      <c r="K17" s="58">
        <f t="shared" si="5"/>
        <v>0</v>
      </c>
      <c r="L17" s="58">
        <f t="shared" si="5"/>
        <v>0</v>
      </c>
      <c r="M17" s="58">
        <f t="shared" si="5"/>
        <v>0</v>
      </c>
      <c r="N17" s="58">
        <f t="shared" si="5"/>
        <v>0</v>
      </c>
      <c r="O17" s="160">
        <f>O19+O18+O20</f>
        <v>11000</v>
      </c>
      <c r="P17" s="215"/>
    </row>
    <row r="18" spans="2:16" s="49" customFormat="1" ht="12.75" customHeight="1">
      <c r="B18" s="24"/>
      <c r="C18" s="25"/>
      <c r="D18" s="27">
        <v>4210</v>
      </c>
      <c r="E18" s="28" t="s">
        <v>39</v>
      </c>
      <c r="F18" s="42">
        <v>2000</v>
      </c>
      <c r="G18" s="365"/>
      <c r="H18" s="82"/>
      <c r="I18" s="82"/>
      <c r="J18" s="82"/>
      <c r="K18" s="82"/>
      <c r="L18" s="82"/>
      <c r="M18" s="82"/>
      <c r="N18" s="82"/>
      <c r="O18" s="128">
        <f>F18+G18+H18+I18+J18+K18+L18+M18+N18</f>
        <v>2000</v>
      </c>
      <c r="P18" s="366"/>
    </row>
    <row r="19" spans="2:16" s="49" customFormat="1" ht="12.75">
      <c r="B19" s="24"/>
      <c r="C19" s="27"/>
      <c r="D19" s="27">
        <v>4300</v>
      </c>
      <c r="E19" s="28" t="s">
        <v>41</v>
      </c>
      <c r="F19" s="42">
        <v>9000</v>
      </c>
      <c r="G19" s="365"/>
      <c r="H19" s="82"/>
      <c r="I19" s="82"/>
      <c r="J19" s="82"/>
      <c r="K19" s="82"/>
      <c r="L19" s="82"/>
      <c r="M19" s="82"/>
      <c r="N19" s="82"/>
      <c r="O19" s="128">
        <f>F19+G19+H19+I19+J19+K19+L19+M19+N19</f>
        <v>9000</v>
      </c>
      <c r="P19" s="368"/>
    </row>
    <row r="20" spans="2:16" s="49" customFormat="1" ht="12.75" customHeight="1">
      <c r="B20" s="24"/>
      <c r="C20" s="27"/>
      <c r="D20" s="9">
        <v>4430</v>
      </c>
      <c r="E20" s="11" t="s">
        <v>46</v>
      </c>
      <c r="F20" s="42"/>
      <c r="G20" s="365"/>
      <c r="H20" s="82"/>
      <c r="I20" s="82"/>
      <c r="J20" s="82"/>
      <c r="K20" s="82"/>
      <c r="L20" s="82"/>
      <c r="M20" s="82"/>
      <c r="N20" s="82"/>
      <c r="O20" s="128">
        <f>F20+G20+H20+I20+J20+K20+L20+M20+N20</f>
        <v>0</v>
      </c>
      <c r="P20" s="197"/>
    </row>
    <row r="21" spans="2:16" s="49" customFormat="1" ht="12.75" hidden="1">
      <c r="B21" s="127" t="s">
        <v>5</v>
      </c>
      <c r="C21" s="22"/>
      <c r="D21" s="22"/>
      <c r="E21" s="23" t="s">
        <v>6</v>
      </c>
      <c r="F21" s="65">
        <f>F22</f>
        <v>5000</v>
      </c>
      <c r="G21" s="361">
        <f>G22</f>
        <v>0</v>
      </c>
      <c r="H21" s="66">
        <f aca="true" t="shared" si="6" ref="H21:N21">H22</f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65">
        <f>O22</f>
        <v>5000</v>
      </c>
      <c r="P21" s="216"/>
    </row>
    <row r="22" spans="2:16" s="49" customFormat="1" ht="12.75" hidden="1">
      <c r="B22" s="24"/>
      <c r="C22" s="25" t="s">
        <v>7</v>
      </c>
      <c r="D22" s="14"/>
      <c r="E22" s="17" t="s">
        <v>34</v>
      </c>
      <c r="F22" s="57">
        <f>SUM(F23:F24)</f>
        <v>5000</v>
      </c>
      <c r="G22" s="222">
        <f>SUM(G23:G24)</f>
        <v>0</v>
      </c>
      <c r="H22" s="58">
        <f aca="true" t="shared" si="7" ref="H22:N22">SUM(H23:H24)</f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160">
        <f>O23+O24</f>
        <v>5000</v>
      </c>
      <c r="P22" s="215"/>
    </row>
    <row r="23" spans="2:16" s="49" customFormat="1" ht="12.75" hidden="1">
      <c r="B23" s="24"/>
      <c r="C23" s="26"/>
      <c r="D23" s="27">
        <v>4210</v>
      </c>
      <c r="E23" s="28" t="s">
        <v>39</v>
      </c>
      <c r="F23" s="42">
        <v>1500</v>
      </c>
      <c r="G23" s="365"/>
      <c r="H23" s="82"/>
      <c r="I23" s="82"/>
      <c r="J23" s="82"/>
      <c r="K23" s="82"/>
      <c r="L23" s="82"/>
      <c r="M23" s="82"/>
      <c r="N23" s="82"/>
      <c r="O23" s="128">
        <f>F23+G23+H23+I23+J23+K23+L23+M23+N23</f>
        <v>1500</v>
      </c>
      <c r="P23" s="197"/>
    </row>
    <row r="24" spans="2:16" s="49" customFormat="1" ht="12.75" hidden="1">
      <c r="B24" s="24"/>
      <c r="C24" s="26"/>
      <c r="D24" s="27">
        <v>4300</v>
      </c>
      <c r="E24" s="28" t="s">
        <v>41</v>
      </c>
      <c r="F24" s="42">
        <v>3500</v>
      </c>
      <c r="G24" s="365"/>
      <c r="H24" s="82"/>
      <c r="I24" s="82"/>
      <c r="J24" s="82"/>
      <c r="K24" s="82"/>
      <c r="L24" s="82"/>
      <c r="M24" s="82"/>
      <c r="N24" s="82"/>
      <c r="O24" s="128">
        <f>F24+G24+H24+I24+J24+K24+L24+M24+N24</f>
        <v>3500</v>
      </c>
      <c r="P24" s="197"/>
    </row>
    <row r="25" spans="2:16" s="49" customFormat="1" ht="12.75" hidden="1">
      <c r="B25" s="30">
        <v>600</v>
      </c>
      <c r="C25" s="31"/>
      <c r="D25" s="31"/>
      <c r="E25" s="32" t="s">
        <v>47</v>
      </c>
      <c r="F25" s="65">
        <f>F31+F28+F26</f>
        <v>280000</v>
      </c>
      <c r="G25" s="361">
        <f>G31+G28</f>
        <v>0</v>
      </c>
      <c r="H25" s="66">
        <f aca="true" t="shared" si="8" ref="H25:N25">H31+H28</f>
        <v>0</v>
      </c>
      <c r="I25" s="66">
        <f t="shared" si="8"/>
        <v>0</v>
      </c>
      <c r="J25" s="66">
        <f t="shared" si="8"/>
        <v>0</v>
      </c>
      <c r="K25" s="66">
        <f t="shared" si="8"/>
        <v>0</v>
      </c>
      <c r="L25" s="66">
        <f t="shared" si="8"/>
        <v>0</v>
      </c>
      <c r="M25" s="66">
        <f t="shared" si="8"/>
        <v>0</v>
      </c>
      <c r="N25" s="66">
        <f t="shared" si="8"/>
        <v>0</v>
      </c>
      <c r="O25" s="65">
        <f>O31+O28+O26</f>
        <v>280000</v>
      </c>
      <c r="P25" s="216"/>
    </row>
    <row r="26" spans="2:16" s="69" customFormat="1" ht="12.75" hidden="1">
      <c r="B26" s="33"/>
      <c r="C26" s="14">
        <v>60013</v>
      </c>
      <c r="D26" s="14"/>
      <c r="E26" s="17" t="s">
        <v>249</v>
      </c>
      <c r="F26" s="38">
        <f>F27</f>
        <v>20000</v>
      </c>
      <c r="G26" s="362"/>
      <c r="H26" s="39"/>
      <c r="I26" s="39"/>
      <c r="J26" s="39"/>
      <c r="K26" s="39"/>
      <c r="L26" s="39"/>
      <c r="M26" s="39"/>
      <c r="N26" s="39"/>
      <c r="O26" s="160">
        <f>O27</f>
        <v>20000</v>
      </c>
      <c r="P26" s="217"/>
    </row>
    <row r="27" spans="2:16" s="69" customFormat="1" ht="63.75" hidden="1">
      <c r="B27" s="33"/>
      <c r="C27" s="36"/>
      <c r="D27" s="27">
        <v>6300</v>
      </c>
      <c r="E27" s="28" t="s">
        <v>50</v>
      </c>
      <c r="F27" s="37">
        <v>20000</v>
      </c>
      <c r="G27" s="362"/>
      <c r="H27" s="39"/>
      <c r="I27" s="39"/>
      <c r="J27" s="39"/>
      <c r="K27" s="39"/>
      <c r="L27" s="39"/>
      <c r="M27" s="39"/>
      <c r="N27" s="39"/>
      <c r="O27" s="128">
        <f>F27+G27+H27+I27+J27+K27+L27+M27+N27</f>
        <v>20000</v>
      </c>
      <c r="P27" s="217"/>
    </row>
    <row r="28" spans="2:16" s="69" customFormat="1" ht="12.75" hidden="1">
      <c r="B28" s="33"/>
      <c r="C28" s="14">
        <v>60014</v>
      </c>
      <c r="D28" s="14"/>
      <c r="E28" s="17" t="s">
        <v>48</v>
      </c>
      <c r="F28" s="38">
        <f>SUM(F29:F30)</f>
        <v>220000</v>
      </c>
      <c r="G28" s="362">
        <f>SUM(G29:G30)</f>
        <v>0</v>
      </c>
      <c r="H28" s="39">
        <f aca="true" t="shared" si="9" ref="H28:N28">SUM(H29:H30)</f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160">
        <f>SUM(O29:O30)</f>
        <v>220000</v>
      </c>
      <c r="P28" s="217"/>
    </row>
    <row r="29" spans="2:16" s="69" customFormat="1" ht="76.5" customHeight="1" hidden="1">
      <c r="B29" s="33"/>
      <c r="C29" s="14"/>
      <c r="D29" s="111">
        <v>2710</v>
      </c>
      <c r="E29" s="131" t="s">
        <v>49</v>
      </c>
      <c r="F29" s="37"/>
      <c r="G29" s="441"/>
      <c r="H29" s="40"/>
      <c r="I29" s="40"/>
      <c r="J29" s="40"/>
      <c r="K29" s="40"/>
      <c r="L29" s="40"/>
      <c r="M29" s="40"/>
      <c r="N29" s="40"/>
      <c r="O29" s="128">
        <f>F29+G29+H29+I29+J29+K29+L29+M29+N29</f>
        <v>0</v>
      </c>
      <c r="P29" s="203"/>
    </row>
    <row r="30" spans="2:16" s="69" customFormat="1" ht="63.75" hidden="1">
      <c r="B30" s="33"/>
      <c r="C30" s="27"/>
      <c r="D30" s="27">
        <v>6300</v>
      </c>
      <c r="E30" s="28" t="s">
        <v>50</v>
      </c>
      <c r="F30" s="37">
        <v>220000</v>
      </c>
      <c r="G30" s="441"/>
      <c r="H30" s="40"/>
      <c r="I30" s="40"/>
      <c r="J30" s="40"/>
      <c r="K30" s="40"/>
      <c r="L30" s="40"/>
      <c r="M30" s="40"/>
      <c r="N30" s="40"/>
      <c r="O30" s="128">
        <f>F30+G30+H30+I30+J30+K30+L30+M30+N30</f>
        <v>220000</v>
      </c>
      <c r="P30" s="243"/>
    </row>
    <row r="31" spans="2:16" s="49" customFormat="1" ht="12.75" hidden="1">
      <c r="B31" s="24"/>
      <c r="C31" s="14">
        <v>60016</v>
      </c>
      <c r="D31" s="14"/>
      <c r="E31" s="17" t="s">
        <v>51</v>
      </c>
      <c r="F31" s="57">
        <f>SUM(F32:F32)</f>
        <v>40000</v>
      </c>
      <c r="G31" s="222">
        <f>SUM(G32:G32)</f>
        <v>0</v>
      </c>
      <c r="H31" s="58">
        <f aca="true" t="shared" si="10" ref="H31:N31">SUM(H32:H32)</f>
        <v>0</v>
      </c>
      <c r="I31" s="58">
        <f t="shared" si="10"/>
        <v>0</v>
      </c>
      <c r="J31" s="58">
        <f t="shared" si="10"/>
        <v>0</v>
      </c>
      <c r="K31" s="58">
        <f t="shared" si="10"/>
        <v>0</v>
      </c>
      <c r="L31" s="58">
        <f t="shared" si="10"/>
        <v>0</v>
      </c>
      <c r="M31" s="58">
        <f t="shared" si="10"/>
        <v>0</v>
      </c>
      <c r="N31" s="58">
        <f t="shared" si="10"/>
        <v>0</v>
      </c>
      <c r="O31" s="160">
        <f>SUM(O32:O32)</f>
        <v>40000</v>
      </c>
      <c r="P31" s="215"/>
    </row>
    <row r="32" spans="2:16" s="49" customFormat="1" ht="33" customHeight="1" hidden="1">
      <c r="B32" s="29"/>
      <c r="C32" s="26"/>
      <c r="D32" s="27">
        <v>6050</v>
      </c>
      <c r="E32" s="28" t="s">
        <v>44</v>
      </c>
      <c r="F32" s="42">
        <f>40000</f>
        <v>40000</v>
      </c>
      <c r="G32" s="365"/>
      <c r="H32" s="82"/>
      <c r="I32" s="82"/>
      <c r="J32" s="82"/>
      <c r="K32" s="82"/>
      <c r="L32" s="82"/>
      <c r="M32" s="82"/>
      <c r="N32" s="82"/>
      <c r="O32" s="128">
        <f>F32+G32+H32+I32+J32+K32+L32+M32+N32</f>
        <v>40000</v>
      </c>
      <c r="P32" s="197"/>
    </row>
    <row r="33" spans="2:16" s="49" customFormat="1" ht="12.75">
      <c r="B33" s="30">
        <v>700</v>
      </c>
      <c r="C33" s="31"/>
      <c r="D33" s="31"/>
      <c r="E33" s="32" t="s">
        <v>21</v>
      </c>
      <c r="F33" s="65">
        <f>F37+F34</f>
        <v>859938</v>
      </c>
      <c r="G33" s="361">
        <f>G37+G34</f>
        <v>74000</v>
      </c>
      <c r="H33" s="66">
        <f aca="true" t="shared" si="11" ref="H33:N33">H37+H34</f>
        <v>0</v>
      </c>
      <c r="I33" s="66">
        <f t="shared" si="11"/>
        <v>0</v>
      </c>
      <c r="J33" s="66">
        <f t="shared" si="11"/>
        <v>0</v>
      </c>
      <c r="K33" s="66">
        <f t="shared" si="11"/>
        <v>0</v>
      </c>
      <c r="L33" s="66">
        <f t="shared" si="11"/>
        <v>0</v>
      </c>
      <c r="M33" s="66">
        <f t="shared" si="11"/>
        <v>0</v>
      </c>
      <c r="N33" s="66">
        <f t="shared" si="11"/>
        <v>0</v>
      </c>
      <c r="O33" s="65">
        <f>O37+O34</f>
        <v>933938</v>
      </c>
      <c r="P33" s="216"/>
    </row>
    <row r="34" spans="2:16" s="49" customFormat="1" ht="28.5" customHeight="1">
      <c r="B34" s="24"/>
      <c r="C34" s="14">
        <v>70004</v>
      </c>
      <c r="D34" s="14"/>
      <c r="E34" s="17" t="s">
        <v>52</v>
      </c>
      <c r="F34" s="57">
        <f>SUM(F35:F35)</f>
        <v>404938</v>
      </c>
      <c r="G34" s="222">
        <f>SUM(G35:G35)</f>
        <v>0</v>
      </c>
      <c r="H34" s="58">
        <f>SUM(H35:H36)</f>
        <v>0</v>
      </c>
      <c r="I34" s="58">
        <f aca="true" t="shared" si="12" ref="I34:N34">SUM(I35:I35)</f>
        <v>0</v>
      </c>
      <c r="J34" s="58">
        <f t="shared" si="12"/>
        <v>0</v>
      </c>
      <c r="K34" s="58">
        <f t="shared" si="12"/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160">
        <f>SUM(O35:O36)</f>
        <v>404938</v>
      </c>
      <c r="P34" s="215"/>
    </row>
    <row r="35" spans="2:16" s="47" customFormat="1" ht="25.5">
      <c r="B35" s="34"/>
      <c r="C35" s="35"/>
      <c r="D35" s="27">
        <v>2650</v>
      </c>
      <c r="E35" s="28" t="s">
        <v>53</v>
      </c>
      <c r="F35" s="42">
        <v>404938</v>
      </c>
      <c r="G35" s="365"/>
      <c r="H35" s="82"/>
      <c r="I35" s="82"/>
      <c r="J35" s="82"/>
      <c r="K35" s="82"/>
      <c r="L35" s="82"/>
      <c r="M35" s="82"/>
      <c r="N35" s="82"/>
      <c r="O35" s="128">
        <f>F35+G35+H35+I35+J35+K35+L35+M35+N35</f>
        <v>404938</v>
      </c>
      <c r="P35" s="197"/>
    </row>
    <row r="36" spans="2:16" s="47" customFormat="1" ht="76.5" customHeight="1">
      <c r="B36" s="34"/>
      <c r="C36" s="35"/>
      <c r="D36" s="27">
        <v>6210</v>
      </c>
      <c r="E36" s="28" t="s">
        <v>54</v>
      </c>
      <c r="F36" s="42"/>
      <c r="G36" s="365"/>
      <c r="H36" s="82"/>
      <c r="I36" s="82"/>
      <c r="J36" s="82"/>
      <c r="K36" s="82"/>
      <c r="L36" s="82"/>
      <c r="M36" s="82"/>
      <c r="N36" s="82"/>
      <c r="O36" s="128">
        <f>F36+G36+H36+I36+J36+K36+L36+M36+N36</f>
        <v>0</v>
      </c>
      <c r="P36" s="197"/>
    </row>
    <row r="37" spans="2:16" s="80" customFormat="1" ht="28.5" customHeight="1">
      <c r="B37" s="33"/>
      <c r="C37" s="14">
        <v>70005</v>
      </c>
      <c r="D37" s="14"/>
      <c r="E37" s="17" t="s">
        <v>22</v>
      </c>
      <c r="F37" s="57">
        <f>SUM(F38:F40)</f>
        <v>455000</v>
      </c>
      <c r="G37" s="222">
        <f>SUM(G38:G40)</f>
        <v>74000</v>
      </c>
      <c r="H37" s="58">
        <f aca="true" t="shared" si="13" ref="H37:N37">SUM(H38:H40)</f>
        <v>0</v>
      </c>
      <c r="I37" s="58">
        <f t="shared" si="13"/>
        <v>0</v>
      </c>
      <c r="J37" s="58">
        <f t="shared" si="13"/>
        <v>0</v>
      </c>
      <c r="K37" s="58">
        <f t="shared" si="13"/>
        <v>0</v>
      </c>
      <c r="L37" s="58">
        <f t="shared" si="13"/>
        <v>0</v>
      </c>
      <c r="M37" s="58">
        <f t="shared" si="13"/>
        <v>0</v>
      </c>
      <c r="N37" s="58">
        <f t="shared" si="13"/>
        <v>0</v>
      </c>
      <c r="O37" s="160">
        <f>SUM(O38:O40)</f>
        <v>529000</v>
      </c>
      <c r="P37" s="215"/>
    </row>
    <row r="38" spans="2:16" s="80" customFormat="1" ht="12.75">
      <c r="B38" s="33"/>
      <c r="C38" s="36"/>
      <c r="D38" s="27">
        <v>4300</v>
      </c>
      <c r="E38" s="28" t="s">
        <v>41</v>
      </c>
      <c r="F38" s="37">
        <f>15000+35000+10000+10000+6000+5000+5000+20000+25000+20000</f>
        <v>151000</v>
      </c>
      <c r="G38" s="441"/>
      <c r="H38" s="40"/>
      <c r="I38" s="40"/>
      <c r="J38" s="40"/>
      <c r="K38" s="40"/>
      <c r="L38" s="40"/>
      <c r="M38" s="40"/>
      <c r="N38" s="40"/>
      <c r="O38" s="128">
        <f>F38+G38+H38+I38+J38+K38+L38+M38+N38</f>
        <v>151000</v>
      </c>
      <c r="P38" s="203"/>
    </row>
    <row r="39" spans="2:16" s="80" customFormat="1" ht="25.5">
      <c r="B39" s="33"/>
      <c r="C39" s="36"/>
      <c r="D39" s="27">
        <v>6050</v>
      </c>
      <c r="E39" s="28" t="s">
        <v>44</v>
      </c>
      <c r="F39" s="37">
        <f>74000+100000+40000</f>
        <v>214000</v>
      </c>
      <c r="G39" s="441"/>
      <c r="H39" s="40"/>
      <c r="I39" s="40"/>
      <c r="J39" s="40"/>
      <c r="K39" s="40"/>
      <c r="L39" s="40"/>
      <c r="M39" s="40"/>
      <c r="N39" s="40"/>
      <c r="O39" s="128">
        <f>F39+G39+H39+I39+J39+K39+L39+M39+N39</f>
        <v>214000</v>
      </c>
      <c r="P39" s="203"/>
    </row>
    <row r="40" spans="2:16" s="80" customFormat="1" ht="28.5" customHeight="1">
      <c r="B40" s="33"/>
      <c r="C40" s="36"/>
      <c r="D40" s="27">
        <v>6060</v>
      </c>
      <c r="E40" s="28" t="s">
        <v>55</v>
      </c>
      <c r="F40" s="37">
        <f>40000+50000</f>
        <v>90000</v>
      </c>
      <c r="G40" s="441">
        <v>74000</v>
      </c>
      <c r="H40" s="40"/>
      <c r="I40" s="40"/>
      <c r="J40" s="40"/>
      <c r="K40" s="40"/>
      <c r="L40" s="40"/>
      <c r="M40" s="40"/>
      <c r="N40" s="40"/>
      <c r="O40" s="128">
        <f>F40+G40+H40+I40+J40+K40+L40+M40+N40</f>
        <v>164000</v>
      </c>
      <c r="P40" s="203" t="s">
        <v>483</v>
      </c>
    </row>
    <row r="41" spans="2:16" s="49" customFormat="1" ht="12.75" hidden="1">
      <c r="B41" s="30">
        <v>710</v>
      </c>
      <c r="C41" s="31"/>
      <c r="D41" s="31"/>
      <c r="E41" s="32" t="s">
        <v>188</v>
      </c>
      <c r="F41" s="65">
        <f>F42+F45+F47</f>
        <v>183200</v>
      </c>
      <c r="G41" s="361">
        <f>G42+G45+G47</f>
        <v>0</v>
      </c>
      <c r="H41" s="66">
        <f aca="true" t="shared" si="14" ref="H41:N41">H42+H45+H47</f>
        <v>0</v>
      </c>
      <c r="I41" s="66">
        <f t="shared" si="14"/>
        <v>0</v>
      </c>
      <c r="J41" s="66">
        <f t="shared" si="14"/>
        <v>0</v>
      </c>
      <c r="K41" s="66">
        <f t="shared" si="14"/>
        <v>0</v>
      </c>
      <c r="L41" s="66">
        <f t="shared" si="14"/>
        <v>0</v>
      </c>
      <c r="M41" s="66">
        <f t="shared" si="14"/>
        <v>0</v>
      </c>
      <c r="N41" s="66">
        <f t="shared" si="14"/>
        <v>0</v>
      </c>
      <c r="O41" s="65">
        <f>O42+O45+O47</f>
        <v>183200</v>
      </c>
      <c r="P41" s="216"/>
    </row>
    <row r="42" spans="2:16" s="49" customFormat="1" ht="28.5" customHeight="1" hidden="1">
      <c r="B42" s="24"/>
      <c r="C42" s="14">
        <v>71004</v>
      </c>
      <c r="D42" s="14"/>
      <c r="E42" s="17" t="s">
        <v>189</v>
      </c>
      <c r="F42" s="57">
        <f>SUM(F43:F44)</f>
        <v>108200</v>
      </c>
      <c r="G42" s="222">
        <f>SUM(G43:G44)</f>
        <v>0</v>
      </c>
      <c r="H42" s="58">
        <f aca="true" t="shared" si="15" ref="H42:N42">SUM(H43:H44)</f>
        <v>0</v>
      </c>
      <c r="I42" s="58">
        <f t="shared" si="15"/>
        <v>0</v>
      </c>
      <c r="J42" s="58">
        <f t="shared" si="15"/>
        <v>0</v>
      </c>
      <c r="K42" s="58">
        <f t="shared" si="15"/>
        <v>0</v>
      </c>
      <c r="L42" s="58">
        <f t="shared" si="15"/>
        <v>0</v>
      </c>
      <c r="M42" s="58">
        <f t="shared" si="15"/>
        <v>0</v>
      </c>
      <c r="N42" s="58">
        <f t="shared" si="15"/>
        <v>0</v>
      </c>
      <c r="O42" s="161">
        <f>SUM(O43:O44)</f>
        <v>108200</v>
      </c>
      <c r="P42" s="215"/>
    </row>
    <row r="43" spans="2:16" s="49" customFormat="1" ht="12.75" hidden="1">
      <c r="B43" s="24"/>
      <c r="C43" s="14"/>
      <c r="D43" s="27">
        <v>3030</v>
      </c>
      <c r="E43" s="28" t="s">
        <v>56</v>
      </c>
      <c r="F43" s="42">
        <v>18200</v>
      </c>
      <c r="G43" s="365"/>
      <c r="H43" s="82"/>
      <c r="I43" s="82"/>
      <c r="J43" s="82"/>
      <c r="K43" s="82"/>
      <c r="L43" s="82"/>
      <c r="M43" s="82"/>
      <c r="N43" s="82"/>
      <c r="O43" s="128">
        <f>F43+G43+H43+I43+J43+K43+L43+M43+N43</f>
        <v>18200</v>
      </c>
      <c r="P43" s="197"/>
    </row>
    <row r="44" spans="2:16" s="49" customFormat="1" ht="12.75" hidden="1">
      <c r="B44" s="24"/>
      <c r="C44" s="27"/>
      <c r="D44" s="27">
        <v>4300</v>
      </c>
      <c r="E44" s="28" t="s">
        <v>41</v>
      </c>
      <c r="F44" s="42">
        <f>75000+15000</f>
        <v>90000</v>
      </c>
      <c r="G44" s="365"/>
      <c r="H44" s="82"/>
      <c r="I44" s="82"/>
      <c r="J44" s="82"/>
      <c r="K44" s="82"/>
      <c r="L44" s="82"/>
      <c r="M44" s="82"/>
      <c r="N44" s="82"/>
      <c r="O44" s="128">
        <f>F44+G44+H44+I44+J44+K44+L44+M44+N44</f>
        <v>90000</v>
      </c>
      <c r="P44" s="197"/>
    </row>
    <row r="45" spans="2:16" s="49" customFormat="1" ht="28.5" customHeight="1" hidden="1">
      <c r="B45" s="24"/>
      <c r="C45" s="14">
        <v>71014</v>
      </c>
      <c r="D45" s="14"/>
      <c r="E45" s="17" t="s">
        <v>190</v>
      </c>
      <c r="F45" s="57">
        <f aca="true" t="shared" si="16" ref="F45:O45">SUM(F46:F46)</f>
        <v>60000</v>
      </c>
      <c r="G45" s="222">
        <f t="shared" si="16"/>
        <v>0</v>
      </c>
      <c r="H45" s="58">
        <f t="shared" si="16"/>
        <v>0</v>
      </c>
      <c r="I45" s="58">
        <f t="shared" si="16"/>
        <v>0</v>
      </c>
      <c r="J45" s="58">
        <f t="shared" si="16"/>
        <v>0</v>
      </c>
      <c r="K45" s="58">
        <f t="shared" si="16"/>
        <v>0</v>
      </c>
      <c r="L45" s="58">
        <f t="shared" si="16"/>
        <v>0</v>
      </c>
      <c r="M45" s="58">
        <f t="shared" si="16"/>
        <v>0</v>
      </c>
      <c r="N45" s="58">
        <f t="shared" si="16"/>
        <v>0</v>
      </c>
      <c r="O45" s="161">
        <f t="shared" si="16"/>
        <v>60000</v>
      </c>
      <c r="P45" s="215"/>
    </row>
    <row r="46" spans="2:16" s="49" customFormat="1" ht="12.75" hidden="1">
      <c r="B46" s="24"/>
      <c r="C46" s="27"/>
      <c r="D46" s="27">
        <v>4300</v>
      </c>
      <c r="E46" s="28" t="s">
        <v>41</v>
      </c>
      <c r="F46" s="42">
        <v>60000</v>
      </c>
      <c r="G46" s="365"/>
      <c r="H46" s="82"/>
      <c r="I46" s="82"/>
      <c r="J46" s="82"/>
      <c r="K46" s="82"/>
      <c r="L46" s="82"/>
      <c r="M46" s="82"/>
      <c r="N46" s="82"/>
      <c r="O46" s="128">
        <f>F46+G46+H46+I46+J46+K46+L46+M46+N46</f>
        <v>60000</v>
      </c>
      <c r="P46" s="197"/>
    </row>
    <row r="47" spans="2:16" s="49" customFormat="1" ht="12.75" hidden="1">
      <c r="B47" s="24"/>
      <c r="C47" s="14">
        <v>71095</v>
      </c>
      <c r="D47" s="14"/>
      <c r="E47" s="17" t="s">
        <v>34</v>
      </c>
      <c r="F47" s="57">
        <f>F48</f>
        <v>15000</v>
      </c>
      <c r="G47" s="222">
        <f>G48</f>
        <v>0</v>
      </c>
      <c r="H47" s="58">
        <f aca="true" t="shared" si="17" ref="H47:N47">H48</f>
        <v>0</v>
      </c>
      <c r="I47" s="58">
        <f t="shared" si="17"/>
        <v>0</v>
      </c>
      <c r="J47" s="58">
        <f t="shared" si="17"/>
        <v>0</v>
      </c>
      <c r="K47" s="58">
        <f t="shared" si="17"/>
        <v>0</v>
      </c>
      <c r="L47" s="58">
        <f t="shared" si="17"/>
        <v>0</v>
      </c>
      <c r="M47" s="58">
        <f t="shared" si="17"/>
        <v>0</v>
      </c>
      <c r="N47" s="58">
        <f t="shared" si="17"/>
        <v>0</v>
      </c>
      <c r="O47" s="160">
        <f>O48</f>
        <v>15000</v>
      </c>
      <c r="P47" s="215"/>
    </row>
    <row r="48" spans="2:16" s="49" customFormat="1" ht="12.75" hidden="1">
      <c r="B48" s="24"/>
      <c r="C48" s="27"/>
      <c r="D48" s="27">
        <v>4300</v>
      </c>
      <c r="E48" s="28" t="s">
        <v>41</v>
      </c>
      <c r="F48" s="42">
        <v>15000</v>
      </c>
      <c r="G48" s="365"/>
      <c r="H48" s="82"/>
      <c r="I48" s="82"/>
      <c r="J48" s="82"/>
      <c r="K48" s="82"/>
      <c r="L48" s="82"/>
      <c r="M48" s="82"/>
      <c r="N48" s="82"/>
      <c r="O48" s="128">
        <f>F48+G48+H48+I48+J48+K48+L48+M48+N48</f>
        <v>15000</v>
      </c>
      <c r="P48" s="197"/>
    </row>
    <row r="49" spans="2:16" s="49" customFormat="1" ht="38.25">
      <c r="B49" s="30">
        <v>751</v>
      </c>
      <c r="C49" s="31"/>
      <c r="D49" s="31"/>
      <c r="E49" s="32" t="s">
        <v>145</v>
      </c>
      <c r="F49" s="65">
        <f>F50+F52</f>
        <v>1150</v>
      </c>
      <c r="G49" s="361">
        <f>G50+G52</f>
        <v>5924</v>
      </c>
      <c r="H49" s="66">
        <f aca="true" t="shared" si="18" ref="H49:N49">H50+H52</f>
        <v>0</v>
      </c>
      <c r="I49" s="66">
        <f t="shared" si="18"/>
        <v>0</v>
      </c>
      <c r="J49" s="66">
        <f t="shared" si="18"/>
        <v>0</v>
      </c>
      <c r="K49" s="66">
        <f t="shared" si="18"/>
        <v>0</v>
      </c>
      <c r="L49" s="66">
        <f t="shared" si="18"/>
        <v>0</v>
      </c>
      <c r="M49" s="66">
        <f t="shared" si="18"/>
        <v>0</v>
      </c>
      <c r="N49" s="66">
        <f t="shared" si="18"/>
        <v>0</v>
      </c>
      <c r="O49" s="65">
        <f>O50+O52</f>
        <v>7074</v>
      </c>
      <c r="P49" s="216"/>
    </row>
    <row r="50" spans="2:16" s="196" customFormat="1" ht="25.5">
      <c r="B50" s="24"/>
      <c r="C50" s="36">
        <v>75101</v>
      </c>
      <c r="D50" s="36"/>
      <c r="E50" s="107" t="s">
        <v>146</v>
      </c>
      <c r="F50" s="57">
        <f>SUM(F51:F51)</f>
        <v>1150</v>
      </c>
      <c r="G50" s="222">
        <f>SUM(G51:G51)</f>
        <v>0</v>
      </c>
      <c r="H50" s="58">
        <f aca="true" t="shared" si="19" ref="H50:N50">SUM(H51:H51)</f>
        <v>0</v>
      </c>
      <c r="I50" s="58">
        <f t="shared" si="19"/>
        <v>0</v>
      </c>
      <c r="J50" s="58">
        <f t="shared" si="19"/>
        <v>0</v>
      </c>
      <c r="K50" s="58">
        <f t="shared" si="19"/>
        <v>0</v>
      </c>
      <c r="L50" s="58">
        <f t="shared" si="19"/>
        <v>0</v>
      </c>
      <c r="M50" s="58">
        <f t="shared" si="19"/>
        <v>0</v>
      </c>
      <c r="N50" s="58">
        <f t="shared" si="19"/>
        <v>0</v>
      </c>
      <c r="O50" s="160">
        <f>SUM(O51:O51)</f>
        <v>1150</v>
      </c>
      <c r="P50" s="215"/>
    </row>
    <row r="51" spans="2:16" s="49" customFormat="1" ht="12.75">
      <c r="B51" s="24"/>
      <c r="C51" s="27"/>
      <c r="D51" s="27">
        <v>4300</v>
      </c>
      <c r="E51" s="28" t="s">
        <v>41</v>
      </c>
      <c r="F51" s="42">
        <v>1150</v>
      </c>
      <c r="G51" s="365"/>
      <c r="H51" s="82"/>
      <c r="I51" s="82"/>
      <c r="J51" s="82"/>
      <c r="K51" s="82"/>
      <c r="L51" s="82"/>
      <c r="M51" s="82"/>
      <c r="N51" s="82"/>
      <c r="O51" s="128">
        <f>F51+G51+H51+I51+J51+K51+L51+M51+N51</f>
        <v>1150</v>
      </c>
      <c r="P51" s="197"/>
    </row>
    <row r="52" spans="2:16" s="49" customFormat="1" ht="12.75" customHeight="1">
      <c r="B52" s="24"/>
      <c r="C52" s="104">
        <v>75113</v>
      </c>
      <c r="D52" s="9"/>
      <c r="E52" s="18" t="s">
        <v>472</v>
      </c>
      <c r="F52" s="57">
        <f aca="true" t="shared" si="20" ref="F52:O52">SUM(F53:F58)</f>
        <v>0</v>
      </c>
      <c r="G52" s="222">
        <f t="shared" si="20"/>
        <v>5924</v>
      </c>
      <c r="H52" s="58">
        <f t="shared" si="20"/>
        <v>0</v>
      </c>
      <c r="I52" s="58">
        <f t="shared" si="20"/>
        <v>0</v>
      </c>
      <c r="J52" s="58">
        <f t="shared" si="20"/>
        <v>0</v>
      </c>
      <c r="K52" s="58">
        <f t="shared" si="20"/>
        <v>0</v>
      </c>
      <c r="L52" s="58">
        <f t="shared" si="20"/>
        <v>0</v>
      </c>
      <c r="M52" s="58">
        <f t="shared" si="20"/>
        <v>0</v>
      </c>
      <c r="N52" s="58">
        <f t="shared" si="20"/>
        <v>0</v>
      </c>
      <c r="O52" s="160">
        <f t="shared" si="20"/>
        <v>5924</v>
      </c>
      <c r="P52" s="215"/>
    </row>
    <row r="53" spans="2:16" s="49" customFormat="1" ht="25.5" customHeight="1" hidden="1">
      <c r="B53" s="24"/>
      <c r="C53" s="27"/>
      <c r="D53" s="27">
        <v>3030</v>
      </c>
      <c r="E53" s="28" t="s">
        <v>56</v>
      </c>
      <c r="F53" s="42"/>
      <c r="G53" s="365"/>
      <c r="H53" s="82"/>
      <c r="I53" s="82"/>
      <c r="J53" s="82"/>
      <c r="K53" s="82"/>
      <c r="L53" s="82"/>
      <c r="M53" s="82"/>
      <c r="N53" s="82"/>
      <c r="O53" s="128">
        <f aca="true" t="shared" si="21" ref="O53:O58">F53+G53+H53+I53+J53+K53+L53+M53+N53</f>
        <v>0</v>
      </c>
      <c r="P53" s="197"/>
    </row>
    <row r="54" spans="2:16" s="49" customFormat="1" ht="12.75">
      <c r="B54" s="24"/>
      <c r="C54" s="27"/>
      <c r="D54" s="27">
        <v>4110</v>
      </c>
      <c r="E54" s="28" t="s">
        <v>58</v>
      </c>
      <c r="F54" s="42"/>
      <c r="G54" s="365">
        <v>505</v>
      </c>
      <c r="H54" s="82"/>
      <c r="I54" s="82"/>
      <c r="J54" s="82"/>
      <c r="K54" s="82"/>
      <c r="L54" s="82"/>
      <c r="M54" s="82"/>
      <c r="N54" s="82"/>
      <c r="O54" s="128">
        <f t="shared" si="21"/>
        <v>505</v>
      </c>
      <c r="P54" s="366" t="s">
        <v>484</v>
      </c>
    </row>
    <row r="55" spans="2:16" s="49" customFormat="1" ht="12.75">
      <c r="B55" s="24"/>
      <c r="C55" s="27"/>
      <c r="D55" s="27">
        <v>4120</v>
      </c>
      <c r="E55" s="28" t="s">
        <v>144</v>
      </c>
      <c r="F55" s="42"/>
      <c r="G55" s="365">
        <v>82</v>
      </c>
      <c r="H55" s="82"/>
      <c r="I55" s="82"/>
      <c r="J55" s="82"/>
      <c r="K55" s="82"/>
      <c r="L55" s="82"/>
      <c r="M55" s="82"/>
      <c r="N55" s="82"/>
      <c r="O55" s="128">
        <f t="shared" si="21"/>
        <v>82</v>
      </c>
      <c r="P55" s="367"/>
    </row>
    <row r="56" spans="2:16" s="49" customFormat="1" ht="12.75" customHeight="1">
      <c r="B56" s="24"/>
      <c r="C56" s="27"/>
      <c r="D56" s="27">
        <v>4170</v>
      </c>
      <c r="E56" s="28" t="s">
        <v>63</v>
      </c>
      <c r="F56" s="42"/>
      <c r="G56" s="365">
        <v>3347</v>
      </c>
      <c r="H56" s="82"/>
      <c r="I56" s="82"/>
      <c r="J56" s="82"/>
      <c r="K56" s="82"/>
      <c r="L56" s="82"/>
      <c r="M56" s="82"/>
      <c r="N56" s="82"/>
      <c r="O56" s="128">
        <f t="shared" si="21"/>
        <v>3347</v>
      </c>
      <c r="P56" s="367"/>
    </row>
    <row r="57" spans="2:16" s="49" customFormat="1" ht="12.75" customHeight="1">
      <c r="B57" s="24"/>
      <c r="C57" s="27"/>
      <c r="D57" s="27">
        <v>4210</v>
      </c>
      <c r="E57" s="28" t="s">
        <v>39</v>
      </c>
      <c r="F57" s="42"/>
      <c r="G57" s="365">
        <v>1550</v>
      </c>
      <c r="H57" s="82"/>
      <c r="I57" s="82"/>
      <c r="J57" s="82"/>
      <c r="K57" s="82"/>
      <c r="L57" s="82"/>
      <c r="M57" s="82"/>
      <c r="N57" s="82"/>
      <c r="O57" s="128">
        <f t="shared" si="21"/>
        <v>1550</v>
      </c>
      <c r="P57" s="367"/>
    </row>
    <row r="58" spans="2:16" s="49" customFormat="1" ht="12.75" customHeight="1">
      <c r="B58" s="24"/>
      <c r="C58" s="27"/>
      <c r="D58" s="27">
        <v>4410</v>
      </c>
      <c r="E58" s="28" t="s">
        <v>60</v>
      </c>
      <c r="F58" s="42"/>
      <c r="G58" s="365">
        <v>440</v>
      </c>
      <c r="H58" s="82"/>
      <c r="I58" s="82"/>
      <c r="J58" s="82"/>
      <c r="K58" s="82"/>
      <c r="L58" s="82"/>
      <c r="M58" s="82"/>
      <c r="N58" s="82"/>
      <c r="O58" s="128">
        <f t="shared" si="21"/>
        <v>440</v>
      </c>
      <c r="P58" s="368"/>
    </row>
    <row r="59" spans="2:16" s="49" customFormat="1" ht="28.5" customHeight="1">
      <c r="B59" s="30">
        <v>754</v>
      </c>
      <c r="C59" s="31"/>
      <c r="D59" s="31"/>
      <c r="E59" s="32" t="s">
        <v>72</v>
      </c>
      <c r="F59" s="65">
        <f>F60+F62+F74+F79</f>
        <v>142500</v>
      </c>
      <c r="G59" s="361">
        <f>G60+G62+G74+G79</f>
        <v>122300</v>
      </c>
      <c r="H59" s="66">
        <f aca="true" t="shared" si="22" ref="H59:N59">H60+H62+H74+H79</f>
        <v>0</v>
      </c>
      <c r="I59" s="66">
        <f t="shared" si="22"/>
        <v>0</v>
      </c>
      <c r="J59" s="66">
        <f t="shared" si="22"/>
        <v>0</v>
      </c>
      <c r="K59" s="66">
        <f t="shared" si="22"/>
        <v>0</v>
      </c>
      <c r="L59" s="66">
        <f t="shared" si="22"/>
        <v>0</v>
      </c>
      <c r="M59" s="66">
        <f t="shared" si="22"/>
        <v>0</v>
      </c>
      <c r="N59" s="66">
        <f t="shared" si="22"/>
        <v>0</v>
      </c>
      <c r="O59" s="65">
        <f>O60+O62+O74+O79</f>
        <v>264800</v>
      </c>
      <c r="P59" s="216"/>
    </row>
    <row r="60" spans="2:16" s="49" customFormat="1" ht="12.75">
      <c r="B60" s="24"/>
      <c r="C60" s="14">
        <v>75403</v>
      </c>
      <c r="D60" s="14"/>
      <c r="E60" s="17" t="s">
        <v>191</v>
      </c>
      <c r="F60" s="57">
        <f aca="true" t="shared" si="23" ref="F60:O60">SUM(F61:F61)</f>
        <v>2000</v>
      </c>
      <c r="G60" s="222">
        <f t="shared" si="23"/>
        <v>0</v>
      </c>
      <c r="H60" s="58">
        <f t="shared" si="23"/>
        <v>0</v>
      </c>
      <c r="I60" s="58">
        <f t="shared" si="23"/>
        <v>0</v>
      </c>
      <c r="J60" s="58">
        <f t="shared" si="23"/>
        <v>0</v>
      </c>
      <c r="K60" s="58">
        <f t="shared" si="23"/>
        <v>0</v>
      </c>
      <c r="L60" s="58">
        <f t="shared" si="23"/>
        <v>0</v>
      </c>
      <c r="M60" s="58">
        <f t="shared" si="23"/>
        <v>0</v>
      </c>
      <c r="N60" s="58">
        <f t="shared" si="23"/>
        <v>0</v>
      </c>
      <c r="O60" s="160">
        <f t="shared" si="23"/>
        <v>2000</v>
      </c>
      <c r="P60" s="215"/>
    </row>
    <row r="61" spans="2:16" s="49" customFormat="1" ht="12.75">
      <c r="B61" s="24"/>
      <c r="C61" s="27"/>
      <c r="D61" s="27">
        <v>4210</v>
      </c>
      <c r="E61" s="28" t="s">
        <v>39</v>
      </c>
      <c r="F61" s="42">
        <v>2000</v>
      </c>
      <c r="G61" s="365"/>
      <c r="H61" s="82"/>
      <c r="I61" s="82"/>
      <c r="J61" s="82"/>
      <c r="K61" s="82"/>
      <c r="L61" s="82"/>
      <c r="M61" s="82"/>
      <c r="N61" s="82"/>
      <c r="O61" s="128">
        <f>F61+G61+H61+I61+J61+K61+L61+M61+N61</f>
        <v>2000</v>
      </c>
      <c r="P61" s="197"/>
    </row>
    <row r="62" spans="2:16" s="49" customFormat="1" ht="12.75">
      <c r="B62" s="24"/>
      <c r="C62" s="14">
        <v>75412</v>
      </c>
      <c r="D62" s="14"/>
      <c r="E62" s="17" t="s">
        <v>73</v>
      </c>
      <c r="F62" s="57">
        <f>SUM(F63:F73)</f>
        <v>136000</v>
      </c>
      <c r="G62" s="222">
        <f>SUM(G63:G73)</f>
        <v>120000</v>
      </c>
      <c r="H62" s="58">
        <f aca="true" t="shared" si="24" ref="H62:N62">SUM(H63:H73)</f>
        <v>0</v>
      </c>
      <c r="I62" s="58">
        <f t="shared" si="24"/>
        <v>0</v>
      </c>
      <c r="J62" s="58">
        <f t="shared" si="24"/>
        <v>0</v>
      </c>
      <c r="K62" s="58">
        <f t="shared" si="24"/>
        <v>0</v>
      </c>
      <c r="L62" s="58">
        <f t="shared" si="24"/>
        <v>0</v>
      </c>
      <c r="M62" s="58">
        <f t="shared" si="24"/>
        <v>0</v>
      </c>
      <c r="N62" s="58">
        <f t="shared" si="24"/>
        <v>0</v>
      </c>
      <c r="O62" s="160">
        <f>SUM(O63:O73)</f>
        <v>256000</v>
      </c>
      <c r="P62" s="215"/>
    </row>
    <row r="63" spans="2:16" s="49" customFormat="1" ht="12.75">
      <c r="B63" s="24"/>
      <c r="C63" s="27"/>
      <c r="D63" s="27">
        <v>3030</v>
      </c>
      <c r="E63" s="28" t="s">
        <v>56</v>
      </c>
      <c r="F63" s="42">
        <v>27000</v>
      </c>
      <c r="G63" s="365"/>
      <c r="H63" s="82"/>
      <c r="I63" s="82"/>
      <c r="J63" s="82"/>
      <c r="K63" s="82"/>
      <c r="L63" s="82"/>
      <c r="M63" s="82"/>
      <c r="N63" s="82"/>
      <c r="O63" s="128">
        <f aca="true" t="shared" si="25" ref="O63:O73">F63+G63+H63+I63+J63+K63+L63+M63+N63</f>
        <v>27000</v>
      </c>
      <c r="P63" s="197"/>
    </row>
    <row r="64" spans="2:16" s="49" customFormat="1" ht="12.75">
      <c r="B64" s="24"/>
      <c r="C64" s="27"/>
      <c r="D64" s="27">
        <v>4170</v>
      </c>
      <c r="E64" s="28" t="s">
        <v>63</v>
      </c>
      <c r="F64" s="42">
        <v>3600</v>
      </c>
      <c r="G64" s="365"/>
      <c r="H64" s="82"/>
      <c r="I64" s="82"/>
      <c r="J64" s="82"/>
      <c r="K64" s="82"/>
      <c r="L64" s="82"/>
      <c r="M64" s="82"/>
      <c r="N64" s="82"/>
      <c r="O64" s="128">
        <f t="shared" si="25"/>
        <v>3600</v>
      </c>
      <c r="P64" s="197"/>
    </row>
    <row r="65" spans="2:16" s="49" customFormat="1" ht="12.75">
      <c r="B65" s="24"/>
      <c r="C65" s="27"/>
      <c r="D65" s="27">
        <v>4210</v>
      </c>
      <c r="E65" s="28" t="s">
        <v>39</v>
      </c>
      <c r="F65" s="42">
        <v>30700</v>
      </c>
      <c r="G65" s="365"/>
      <c r="H65" s="82"/>
      <c r="I65" s="82"/>
      <c r="J65" s="82"/>
      <c r="K65" s="82"/>
      <c r="L65" s="82"/>
      <c r="M65" s="82"/>
      <c r="N65" s="82"/>
      <c r="O65" s="128">
        <f t="shared" si="25"/>
        <v>30700</v>
      </c>
      <c r="P65" s="197"/>
    </row>
    <row r="66" spans="2:16" s="49" customFormat="1" ht="12.75">
      <c r="B66" s="24"/>
      <c r="C66" s="27"/>
      <c r="D66" s="27">
        <v>4260</v>
      </c>
      <c r="E66" s="28" t="s">
        <v>59</v>
      </c>
      <c r="F66" s="42">
        <v>7000</v>
      </c>
      <c r="G66" s="365"/>
      <c r="H66" s="82"/>
      <c r="I66" s="82"/>
      <c r="J66" s="82"/>
      <c r="K66" s="82"/>
      <c r="L66" s="82"/>
      <c r="M66" s="82"/>
      <c r="N66" s="82"/>
      <c r="O66" s="128">
        <f t="shared" si="25"/>
        <v>7000</v>
      </c>
      <c r="P66" s="197"/>
    </row>
    <row r="67" spans="2:16" s="49" customFormat="1" ht="12.75">
      <c r="B67" s="24"/>
      <c r="C67" s="27"/>
      <c r="D67" s="27">
        <v>4270</v>
      </c>
      <c r="E67" s="28" t="s">
        <v>71</v>
      </c>
      <c r="F67" s="42">
        <v>28000</v>
      </c>
      <c r="G67" s="365"/>
      <c r="H67" s="82"/>
      <c r="I67" s="82"/>
      <c r="J67" s="82"/>
      <c r="K67" s="82"/>
      <c r="L67" s="82"/>
      <c r="M67" s="82"/>
      <c r="N67" s="82"/>
      <c r="O67" s="128">
        <f t="shared" si="25"/>
        <v>28000</v>
      </c>
      <c r="P67" s="197"/>
    </row>
    <row r="68" spans="2:16" s="49" customFormat="1" ht="12.75">
      <c r="B68" s="24"/>
      <c r="C68" s="27"/>
      <c r="D68" s="27">
        <v>4280</v>
      </c>
      <c r="E68" s="28" t="s">
        <v>64</v>
      </c>
      <c r="F68" s="42">
        <v>3000</v>
      </c>
      <c r="G68" s="365"/>
      <c r="H68" s="82"/>
      <c r="I68" s="82"/>
      <c r="J68" s="82"/>
      <c r="K68" s="82"/>
      <c r="L68" s="82"/>
      <c r="M68" s="82"/>
      <c r="N68" s="82"/>
      <c r="O68" s="128">
        <f t="shared" si="25"/>
        <v>3000</v>
      </c>
      <c r="P68" s="197"/>
    </row>
    <row r="69" spans="2:16" s="49" customFormat="1" ht="12.75">
      <c r="B69" s="24"/>
      <c r="C69" s="27"/>
      <c r="D69" s="27">
        <v>4300</v>
      </c>
      <c r="E69" s="28" t="s">
        <v>41</v>
      </c>
      <c r="F69" s="42">
        <v>7000</v>
      </c>
      <c r="G69" s="365"/>
      <c r="H69" s="82"/>
      <c r="I69" s="82"/>
      <c r="J69" s="82"/>
      <c r="K69" s="82"/>
      <c r="L69" s="82"/>
      <c r="M69" s="82"/>
      <c r="N69" s="82"/>
      <c r="O69" s="128">
        <f t="shared" si="25"/>
        <v>7000</v>
      </c>
      <c r="P69" s="197"/>
    </row>
    <row r="70" spans="2:16" s="49" customFormat="1" ht="27.75" customHeight="1">
      <c r="B70" s="24"/>
      <c r="C70" s="27"/>
      <c r="D70" s="27">
        <v>4360</v>
      </c>
      <c r="E70" s="28" t="s">
        <v>66</v>
      </c>
      <c r="F70" s="42">
        <v>200</v>
      </c>
      <c r="G70" s="365"/>
      <c r="H70" s="82"/>
      <c r="I70" s="82"/>
      <c r="J70" s="82"/>
      <c r="K70" s="82"/>
      <c r="L70" s="82"/>
      <c r="M70" s="82"/>
      <c r="N70" s="82"/>
      <c r="O70" s="128">
        <f t="shared" si="25"/>
        <v>200</v>
      </c>
      <c r="P70" s="197"/>
    </row>
    <row r="71" spans="2:16" s="49" customFormat="1" ht="12.75">
      <c r="B71" s="24"/>
      <c r="C71" s="27"/>
      <c r="D71" s="27">
        <v>4410</v>
      </c>
      <c r="E71" s="28" t="s">
        <v>60</v>
      </c>
      <c r="F71" s="42">
        <v>500</v>
      </c>
      <c r="G71" s="365"/>
      <c r="H71" s="82"/>
      <c r="I71" s="82"/>
      <c r="J71" s="82"/>
      <c r="K71" s="82"/>
      <c r="L71" s="82"/>
      <c r="M71" s="82"/>
      <c r="N71" s="82"/>
      <c r="O71" s="128">
        <f t="shared" si="25"/>
        <v>500</v>
      </c>
      <c r="P71" s="197"/>
    </row>
    <row r="72" spans="2:16" s="49" customFormat="1" ht="12.75">
      <c r="B72" s="24"/>
      <c r="C72" s="27"/>
      <c r="D72" s="27">
        <v>4430</v>
      </c>
      <c r="E72" s="28" t="s">
        <v>46</v>
      </c>
      <c r="F72" s="42">
        <v>14000</v>
      </c>
      <c r="G72" s="365"/>
      <c r="H72" s="82"/>
      <c r="I72" s="82"/>
      <c r="J72" s="82"/>
      <c r="K72" s="82"/>
      <c r="L72" s="82"/>
      <c r="M72" s="82"/>
      <c r="N72" s="82"/>
      <c r="O72" s="128">
        <f t="shared" si="25"/>
        <v>14000</v>
      </c>
      <c r="P72" s="197"/>
    </row>
    <row r="73" spans="2:16" s="49" customFormat="1" ht="67.5" customHeight="1">
      <c r="B73" s="24"/>
      <c r="C73" s="14"/>
      <c r="D73" s="27">
        <v>6230</v>
      </c>
      <c r="E73" s="28" t="s">
        <v>74</v>
      </c>
      <c r="F73" s="42">
        <v>15000</v>
      </c>
      <c r="G73" s="365">
        <v>120000</v>
      </c>
      <c r="H73" s="82"/>
      <c r="I73" s="82"/>
      <c r="J73" s="82"/>
      <c r="K73" s="82"/>
      <c r="L73" s="82"/>
      <c r="M73" s="82"/>
      <c r="N73" s="82"/>
      <c r="O73" s="128">
        <f t="shared" si="25"/>
        <v>135000</v>
      </c>
      <c r="P73" s="218" t="s">
        <v>485</v>
      </c>
    </row>
    <row r="74" spans="2:16" s="49" customFormat="1" ht="12.75">
      <c r="B74" s="24"/>
      <c r="C74" s="14">
        <v>75414</v>
      </c>
      <c r="D74" s="14"/>
      <c r="E74" s="17" t="s">
        <v>75</v>
      </c>
      <c r="F74" s="57">
        <f>SUM(F75:F78)</f>
        <v>2500</v>
      </c>
      <c r="G74" s="222">
        <f>SUM(G75:G78)</f>
        <v>0</v>
      </c>
      <c r="H74" s="58">
        <f aca="true" t="shared" si="26" ref="H74:N74">SUM(H75:H78)</f>
        <v>0</v>
      </c>
      <c r="I74" s="58">
        <f t="shared" si="26"/>
        <v>0</v>
      </c>
      <c r="J74" s="58">
        <f t="shared" si="26"/>
        <v>0</v>
      </c>
      <c r="K74" s="58">
        <f t="shared" si="26"/>
        <v>0</v>
      </c>
      <c r="L74" s="58">
        <f t="shared" si="26"/>
        <v>0</v>
      </c>
      <c r="M74" s="58">
        <f t="shared" si="26"/>
        <v>0</v>
      </c>
      <c r="N74" s="58">
        <f t="shared" si="26"/>
        <v>0</v>
      </c>
      <c r="O74" s="160">
        <f>SUM(O75:O78)</f>
        <v>2500</v>
      </c>
      <c r="P74" s="215"/>
    </row>
    <row r="75" spans="2:16" s="49" customFormat="1" ht="12.75" customHeight="1">
      <c r="B75" s="24"/>
      <c r="C75" s="27"/>
      <c r="D75" s="27">
        <v>4170</v>
      </c>
      <c r="E75" s="28" t="s">
        <v>63</v>
      </c>
      <c r="F75" s="42">
        <v>600</v>
      </c>
      <c r="G75" s="365"/>
      <c r="H75" s="82"/>
      <c r="I75" s="82"/>
      <c r="J75" s="82"/>
      <c r="K75" s="82"/>
      <c r="L75" s="82"/>
      <c r="M75" s="82"/>
      <c r="N75" s="82"/>
      <c r="O75" s="128">
        <f>F75+G75+H75+I75+J75+K75+L75+M75+N75</f>
        <v>600</v>
      </c>
      <c r="P75" s="197"/>
    </row>
    <row r="76" spans="2:16" s="49" customFormat="1" ht="12.75">
      <c r="B76" s="24"/>
      <c r="C76" s="27"/>
      <c r="D76" s="27">
        <v>4210</v>
      </c>
      <c r="E76" s="28" t="s">
        <v>39</v>
      </c>
      <c r="F76" s="42">
        <v>800</v>
      </c>
      <c r="G76" s="365"/>
      <c r="H76" s="82"/>
      <c r="I76" s="82"/>
      <c r="J76" s="82"/>
      <c r="K76" s="82"/>
      <c r="L76" s="82"/>
      <c r="M76" s="82"/>
      <c r="N76" s="82"/>
      <c r="O76" s="128">
        <f>F76+G76+H76+I76+J76+K76+L76+M76+N76</f>
        <v>800</v>
      </c>
      <c r="P76" s="197"/>
    </row>
    <row r="77" spans="2:16" s="49" customFormat="1" ht="12.75">
      <c r="B77" s="24"/>
      <c r="C77" s="27"/>
      <c r="D77" s="27">
        <v>4300</v>
      </c>
      <c r="E77" s="28" t="s">
        <v>41</v>
      </c>
      <c r="F77" s="42">
        <v>1000</v>
      </c>
      <c r="G77" s="365"/>
      <c r="H77" s="82"/>
      <c r="I77" s="82"/>
      <c r="J77" s="82"/>
      <c r="K77" s="82"/>
      <c r="L77" s="82"/>
      <c r="M77" s="82"/>
      <c r="N77" s="82"/>
      <c r="O77" s="128">
        <f>F77+G77+H77+I77+J77+K77+L77+M77+N77</f>
        <v>1000</v>
      </c>
      <c r="P77" s="197"/>
    </row>
    <row r="78" spans="2:16" s="49" customFormat="1" ht="12.75">
      <c r="B78" s="24"/>
      <c r="C78" s="27"/>
      <c r="D78" s="27">
        <v>4410</v>
      </c>
      <c r="E78" s="28" t="s">
        <v>60</v>
      </c>
      <c r="F78" s="42">
        <v>100</v>
      </c>
      <c r="G78" s="365"/>
      <c r="H78" s="82"/>
      <c r="I78" s="82"/>
      <c r="J78" s="82"/>
      <c r="K78" s="82"/>
      <c r="L78" s="82"/>
      <c r="M78" s="82"/>
      <c r="N78" s="82"/>
      <c r="O78" s="128">
        <f>F78+G78+H78+I78+J78+K78+L78+M78+N78</f>
        <v>100</v>
      </c>
      <c r="P78" s="197"/>
    </row>
    <row r="79" spans="2:16" s="49" customFormat="1" ht="12.75">
      <c r="B79" s="24"/>
      <c r="C79" s="14">
        <v>75421</v>
      </c>
      <c r="D79" s="14"/>
      <c r="E79" s="17" t="s">
        <v>202</v>
      </c>
      <c r="F79" s="57">
        <f>SUM(F80:F83)</f>
        <v>2000</v>
      </c>
      <c r="G79" s="222">
        <f>SUM(G80:G83)</f>
        <v>2300</v>
      </c>
      <c r="H79" s="58">
        <f aca="true" t="shared" si="27" ref="H79:N79">SUM(H80:H80)</f>
        <v>0</v>
      </c>
      <c r="I79" s="58">
        <f t="shared" si="27"/>
        <v>0</v>
      </c>
      <c r="J79" s="58">
        <f t="shared" si="27"/>
        <v>0</v>
      </c>
      <c r="K79" s="58">
        <f>SUM(K80:K83)</f>
        <v>0</v>
      </c>
      <c r="L79" s="58">
        <f t="shared" si="27"/>
        <v>0</v>
      </c>
      <c r="M79" s="58">
        <f t="shared" si="27"/>
        <v>0</v>
      </c>
      <c r="N79" s="58">
        <f t="shared" si="27"/>
        <v>0</v>
      </c>
      <c r="O79" s="160">
        <f>SUM(O80:O83)</f>
        <v>4300</v>
      </c>
      <c r="P79" s="215"/>
    </row>
    <row r="80" spans="2:16" s="49" customFormat="1" ht="14.25" customHeight="1">
      <c r="B80" s="24"/>
      <c r="C80" s="27"/>
      <c r="D80" s="27">
        <v>4810</v>
      </c>
      <c r="E80" s="28" t="s">
        <v>203</v>
      </c>
      <c r="F80" s="42">
        <v>0</v>
      </c>
      <c r="G80" s="365">
        <v>2300</v>
      </c>
      <c r="H80" s="82"/>
      <c r="I80" s="82"/>
      <c r="J80" s="82"/>
      <c r="K80" s="82"/>
      <c r="L80" s="82"/>
      <c r="M80" s="82"/>
      <c r="N80" s="82"/>
      <c r="O80" s="128">
        <f>F80+G80+H80+I80+J80+K80+L80+M80+N80</f>
        <v>2300</v>
      </c>
      <c r="P80" s="197" t="s">
        <v>486</v>
      </c>
    </row>
    <row r="81" spans="2:16" s="49" customFormat="1" ht="12.75" customHeight="1">
      <c r="B81" s="24"/>
      <c r="C81" s="27"/>
      <c r="D81" s="27">
        <v>4270</v>
      </c>
      <c r="E81" s="28" t="s">
        <v>40</v>
      </c>
      <c r="F81" s="42">
        <v>500</v>
      </c>
      <c r="G81" s="365"/>
      <c r="H81" s="82"/>
      <c r="I81" s="82"/>
      <c r="J81" s="82"/>
      <c r="K81" s="82"/>
      <c r="L81" s="82"/>
      <c r="M81" s="82"/>
      <c r="N81" s="82"/>
      <c r="O81" s="128">
        <f>F81+G81+H81+I81+J81+K81+L81+M81+N81</f>
        <v>500</v>
      </c>
      <c r="P81" s="197"/>
    </row>
    <row r="82" spans="2:16" s="49" customFormat="1" ht="12.75" customHeight="1">
      <c r="B82" s="24"/>
      <c r="C82" s="27"/>
      <c r="D82" s="27">
        <v>4300</v>
      </c>
      <c r="E82" s="28" t="s">
        <v>41</v>
      </c>
      <c r="F82" s="42">
        <v>500</v>
      </c>
      <c r="G82" s="365"/>
      <c r="H82" s="82"/>
      <c r="I82" s="82"/>
      <c r="J82" s="82"/>
      <c r="K82" s="82"/>
      <c r="L82" s="82"/>
      <c r="M82" s="82"/>
      <c r="N82" s="82"/>
      <c r="O82" s="128">
        <f>F82+G82+H82+I82+J82+K82+L82+M82+N82</f>
        <v>500</v>
      </c>
      <c r="P82" s="197"/>
    </row>
    <row r="83" spans="2:16" s="49" customFormat="1" ht="27" customHeight="1">
      <c r="B83" s="24"/>
      <c r="C83" s="27"/>
      <c r="D83" s="27">
        <v>4360</v>
      </c>
      <c r="E83" s="28" t="s">
        <v>66</v>
      </c>
      <c r="F83" s="42">
        <v>1000</v>
      </c>
      <c r="G83" s="365"/>
      <c r="H83" s="82"/>
      <c r="I83" s="82"/>
      <c r="J83" s="82"/>
      <c r="K83" s="82"/>
      <c r="L83" s="82"/>
      <c r="M83" s="82"/>
      <c r="N83" s="82"/>
      <c r="O83" s="128">
        <f>F83+G83+H83+I83+J83+K83+L83+M83+N83</f>
        <v>1000</v>
      </c>
      <c r="P83" s="197"/>
    </row>
    <row r="84" spans="2:16" s="49" customFormat="1" ht="38.25" hidden="1">
      <c r="B84" s="30">
        <v>756</v>
      </c>
      <c r="C84" s="31"/>
      <c r="D84" s="31"/>
      <c r="E84" s="32" t="s">
        <v>204</v>
      </c>
      <c r="F84" s="65">
        <f>F85</f>
        <v>48500</v>
      </c>
      <c r="G84" s="361">
        <f>G85</f>
        <v>0</v>
      </c>
      <c r="H84" s="66">
        <f aca="true" t="shared" si="28" ref="H84:N84">H85</f>
        <v>0</v>
      </c>
      <c r="I84" s="66">
        <f t="shared" si="28"/>
        <v>0</v>
      </c>
      <c r="J84" s="66">
        <f t="shared" si="28"/>
        <v>0</v>
      </c>
      <c r="K84" s="66">
        <f t="shared" si="28"/>
        <v>0</v>
      </c>
      <c r="L84" s="66">
        <f t="shared" si="28"/>
        <v>0</v>
      </c>
      <c r="M84" s="66">
        <f t="shared" si="28"/>
        <v>0</v>
      </c>
      <c r="N84" s="66">
        <f t="shared" si="28"/>
        <v>0</v>
      </c>
      <c r="O84" s="65">
        <f>O85</f>
        <v>48500</v>
      </c>
      <c r="P84" s="216"/>
    </row>
    <row r="85" spans="2:16" s="49" customFormat="1" ht="44.25" customHeight="1" hidden="1">
      <c r="B85" s="24"/>
      <c r="C85" s="14">
        <v>75647</v>
      </c>
      <c r="D85" s="14"/>
      <c r="E85" s="17" t="s">
        <v>205</v>
      </c>
      <c r="F85" s="57">
        <f>SUM(F86:F89)</f>
        <v>48500</v>
      </c>
      <c r="G85" s="222">
        <f>SUM(G86:G89)</f>
        <v>0</v>
      </c>
      <c r="H85" s="58">
        <f aca="true" t="shared" si="29" ref="H85:N85">SUM(H86:H89)</f>
        <v>0</v>
      </c>
      <c r="I85" s="58">
        <f t="shared" si="29"/>
        <v>0</v>
      </c>
      <c r="J85" s="58">
        <f t="shared" si="29"/>
        <v>0</v>
      </c>
      <c r="K85" s="58">
        <f t="shared" si="29"/>
        <v>0</v>
      </c>
      <c r="L85" s="58">
        <f t="shared" si="29"/>
        <v>0</v>
      </c>
      <c r="M85" s="58">
        <f t="shared" si="29"/>
        <v>0</v>
      </c>
      <c r="N85" s="58">
        <f t="shared" si="29"/>
        <v>0</v>
      </c>
      <c r="O85" s="160">
        <f>SUM(O86:O89)</f>
        <v>48500</v>
      </c>
      <c r="P85" s="215"/>
    </row>
    <row r="86" spans="2:16" s="49" customFormat="1" ht="12.75" hidden="1">
      <c r="B86" s="24"/>
      <c r="C86" s="27"/>
      <c r="D86" s="27">
        <v>4100</v>
      </c>
      <c r="E86" s="28" t="s">
        <v>206</v>
      </c>
      <c r="F86" s="42">
        <v>45000</v>
      </c>
      <c r="G86" s="365"/>
      <c r="H86" s="82"/>
      <c r="I86" s="82"/>
      <c r="J86" s="82"/>
      <c r="K86" s="82"/>
      <c r="L86" s="82"/>
      <c r="M86" s="82"/>
      <c r="N86" s="82"/>
      <c r="O86" s="128">
        <f>F86+G86+H86+I86+J86+K86+L86+M86+N86</f>
        <v>45000</v>
      </c>
      <c r="P86" s="197"/>
    </row>
    <row r="87" spans="2:16" s="49" customFormat="1" ht="12.75" hidden="1">
      <c r="B87" s="24"/>
      <c r="C87" s="27"/>
      <c r="D87" s="27">
        <v>4210</v>
      </c>
      <c r="E87" s="28" t="s">
        <v>39</v>
      </c>
      <c r="F87" s="42">
        <v>1000</v>
      </c>
      <c r="G87" s="365"/>
      <c r="H87" s="82"/>
      <c r="I87" s="82"/>
      <c r="J87" s="82"/>
      <c r="K87" s="82"/>
      <c r="L87" s="82"/>
      <c r="M87" s="82"/>
      <c r="N87" s="82"/>
      <c r="O87" s="128">
        <f>F87+G87+H87+I87+J87+K87+L87+M87+N87</f>
        <v>1000</v>
      </c>
      <c r="P87" s="197"/>
    </row>
    <row r="88" spans="2:16" s="49" customFormat="1" ht="12.75" customHeight="1" hidden="1">
      <c r="B88" s="24"/>
      <c r="C88" s="27"/>
      <c r="D88" s="27">
        <v>4300</v>
      </c>
      <c r="E88" s="28" t="s">
        <v>41</v>
      </c>
      <c r="F88" s="42"/>
      <c r="G88" s="365"/>
      <c r="H88" s="82"/>
      <c r="I88" s="82"/>
      <c r="J88" s="82"/>
      <c r="K88" s="82"/>
      <c r="L88" s="82"/>
      <c r="M88" s="82"/>
      <c r="N88" s="82"/>
      <c r="O88" s="128">
        <f>F88+G88+H88+I88+J88+K88+L88+M88+N88</f>
        <v>0</v>
      </c>
      <c r="P88" s="197"/>
    </row>
    <row r="89" spans="2:16" s="49" customFormat="1" ht="28.5" customHeight="1" hidden="1">
      <c r="B89" s="24"/>
      <c r="C89" s="27"/>
      <c r="D89" s="27">
        <v>4610</v>
      </c>
      <c r="E89" s="28" t="s">
        <v>207</v>
      </c>
      <c r="F89" s="42">
        <v>2500</v>
      </c>
      <c r="G89" s="365"/>
      <c r="H89" s="82"/>
      <c r="I89" s="82"/>
      <c r="J89" s="82"/>
      <c r="K89" s="82"/>
      <c r="L89" s="82"/>
      <c r="M89" s="82"/>
      <c r="N89" s="82"/>
      <c r="O89" s="128">
        <f>F89+G89+H89+I89+J89+K89+L89+M89+N89</f>
        <v>2500</v>
      </c>
      <c r="P89" s="197"/>
    </row>
    <row r="90" spans="2:16" s="49" customFormat="1" ht="12.75" hidden="1">
      <c r="B90" s="30">
        <v>757</v>
      </c>
      <c r="C90" s="31"/>
      <c r="D90" s="31"/>
      <c r="E90" s="32" t="s">
        <v>208</v>
      </c>
      <c r="F90" s="65">
        <f aca="true" t="shared" si="30" ref="F90:N90">F91</f>
        <v>175144</v>
      </c>
      <c r="G90" s="361">
        <f t="shared" si="30"/>
        <v>0</v>
      </c>
      <c r="H90" s="66">
        <f t="shared" si="30"/>
        <v>0</v>
      </c>
      <c r="I90" s="66">
        <f t="shared" si="30"/>
        <v>0</v>
      </c>
      <c r="J90" s="66">
        <f t="shared" si="30"/>
        <v>0</v>
      </c>
      <c r="K90" s="66">
        <f t="shared" si="30"/>
        <v>0</v>
      </c>
      <c r="L90" s="66">
        <f t="shared" si="30"/>
        <v>0</v>
      </c>
      <c r="M90" s="66">
        <f t="shared" si="30"/>
        <v>0</v>
      </c>
      <c r="N90" s="66">
        <f t="shared" si="30"/>
        <v>0</v>
      </c>
      <c r="O90" s="65">
        <f>O91</f>
        <v>175144</v>
      </c>
      <c r="P90" s="216"/>
    </row>
    <row r="91" spans="2:16" s="49" customFormat="1" ht="38.25" hidden="1">
      <c r="B91" s="24"/>
      <c r="C91" s="14">
        <v>75702</v>
      </c>
      <c r="D91" s="14"/>
      <c r="E91" s="17" t="s">
        <v>209</v>
      </c>
      <c r="F91" s="57">
        <f>SUM(F92:F92)</f>
        <v>175144</v>
      </c>
      <c r="G91" s="222">
        <f>SUM(G92:G92)</f>
        <v>0</v>
      </c>
      <c r="H91" s="58">
        <f aca="true" t="shared" si="31" ref="H91:N91">SUM(H92:H92)</f>
        <v>0</v>
      </c>
      <c r="I91" s="58">
        <f t="shared" si="31"/>
        <v>0</v>
      </c>
      <c r="J91" s="58">
        <f t="shared" si="31"/>
        <v>0</v>
      </c>
      <c r="K91" s="58">
        <f t="shared" si="31"/>
        <v>0</v>
      </c>
      <c r="L91" s="58">
        <f t="shared" si="31"/>
        <v>0</v>
      </c>
      <c r="M91" s="58">
        <f t="shared" si="31"/>
        <v>0</v>
      </c>
      <c r="N91" s="58">
        <f t="shared" si="31"/>
        <v>0</v>
      </c>
      <c r="O91" s="161">
        <f>SUM(O92:O92)</f>
        <v>175144</v>
      </c>
      <c r="P91" s="215"/>
    </row>
    <row r="92" spans="2:16" s="49" customFormat="1" ht="38.25" hidden="1">
      <c r="B92" s="24"/>
      <c r="C92" s="27"/>
      <c r="D92" s="27">
        <v>8070</v>
      </c>
      <c r="E92" s="28" t="s">
        <v>210</v>
      </c>
      <c r="F92" s="42">
        <v>175144</v>
      </c>
      <c r="G92" s="365"/>
      <c r="H92" s="82"/>
      <c r="I92" s="82"/>
      <c r="J92" s="82"/>
      <c r="K92" s="82"/>
      <c r="L92" s="82"/>
      <c r="M92" s="82"/>
      <c r="N92" s="82"/>
      <c r="O92" s="128">
        <f>F92+G92+H92+I92+J92+K92+L92+M92+N92</f>
        <v>175144</v>
      </c>
      <c r="P92" s="197"/>
    </row>
    <row r="93" spans="2:16" s="49" customFormat="1" ht="12.75" hidden="1">
      <c r="B93" s="30">
        <v>758</v>
      </c>
      <c r="C93" s="31"/>
      <c r="D93" s="31"/>
      <c r="E93" s="32" t="s">
        <v>28</v>
      </c>
      <c r="F93" s="65">
        <f>F94</f>
        <v>80000</v>
      </c>
      <c r="G93" s="361">
        <f>G94</f>
        <v>0</v>
      </c>
      <c r="H93" s="66">
        <f aca="true" t="shared" si="32" ref="H93:N93">H94</f>
        <v>0</v>
      </c>
      <c r="I93" s="66">
        <f t="shared" si="32"/>
        <v>0</v>
      </c>
      <c r="J93" s="66">
        <f t="shared" si="32"/>
        <v>0</v>
      </c>
      <c r="K93" s="66">
        <f t="shared" si="32"/>
        <v>0</v>
      </c>
      <c r="L93" s="66">
        <f t="shared" si="32"/>
        <v>0</v>
      </c>
      <c r="M93" s="66">
        <f t="shared" si="32"/>
        <v>0</v>
      </c>
      <c r="N93" s="66">
        <f t="shared" si="32"/>
        <v>0</v>
      </c>
      <c r="O93" s="65">
        <f>O94</f>
        <v>80000</v>
      </c>
      <c r="P93" s="216"/>
    </row>
    <row r="94" spans="2:16" s="49" customFormat="1" ht="12.75" customHeight="1" hidden="1">
      <c r="B94" s="24"/>
      <c r="C94" s="14">
        <v>75818</v>
      </c>
      <c r="D94" s="14"/>
      <c r="E94" s="17" t="s">
        <v>211</v>
      </c>
      <c r="F94" s="57">
        <f aca="true" t="shared" si="33" ref="F94:N94">SUM(F95:F95)</f>
        <v>80000</v>
      </c>
      <c r="G94" s="222">
        <f t="shared" si="33"/>
        <v>0</v>
      </c>
      <c r="H94" s="58">
        <f t="shared" si="33"/>
        <v>0</v>
      </c>
      <c r="I94" s="58">
        <f t="shared" si="33"/>
        <v>0</v>
      </c>
      <c r="J94" s="58">
        <f t="shared" si="33"/>
        <v>0</v>
      </c>
      <c r="K94" s="58">
        <f t="shared" si="33"/>
        <v>0</v>
      </c>
      <c r="L94" s="58">
        <f t="shared" si="33"/>
        <v>0</v>
      </c>
      <c r="M94" s="58">
        <f t="shared" si="33"/>
        <v>0</v>
      </c>
      <c r="N94" s="58">
        <f t="shared" si="33"/>
        <v>0</v>
      </c>
      <c r="O94" s="161">
        <f>SUM(O95:O95)</f>
        <v>80000</v>
      </c>
      <c r="P94" s="215"/>
    </row>
    <row r="95" spans="2:16" s="49" customFormat="1" ht="12.75" hidden="1">
      <c r="B95" s="24"/>
      <c r="C95" s="27"/>
      <c r="D95" s="27">
        <v>4810</v>
      </c>
      <c r="E95" s="28" t="s">
        <v>203</v>
      </c>
      <c r="F95" s="42">
        <v>80000</v>
      </c>
      <c r="G95" s="365"/>
      <c r="H95" s="82"/>
      <c r="I95" s="82"/>
      <c r="J95" s="82"/>
      <c r="K95" s="82"/>
      <c r="L95" s="82"/>
      <c r="M95" s="82"/>
      <c r="N95" s="82"/>
      <c r="O95" s="128">
        <f>F95+G95+H95+I95+J95+K95+L95+M95+N95</f>
        <v>80000</v>
      </c>
      <c r="P95" s="197"/>
    </row>
    <row r="96" spans="2:16" s="49" customFormat="1" ht="12.75" hidden="1">
      <c r="B96" s="30">
        <v>801</v>
      </c>
      <c r="C96" s="31"/>
      <c r="D96" s="31"/>
      <c r="E96" s="32" t="s">
        <v>29</v>
      </c>
      <c r="F96" s="65">
        <f>F97+F140+F164+F187+F196+F228+F212+F121+F216</f>
        <v>7809243</v>
      </c>
      <c r="G96" s="361">
        <f aca="true" t="shared" si="34" ref="G96:N96">G97+G140+G164+G187+G196+G228+G212+G121</f>
        <v>0</v>
      </c>
      <c r="H96" s="66">
        <f t="shared" si="34"/>
        <v>0</v>
      </c>
      <c r="I96" s="66">
        <f t="shared" si="34"/>
        <v>0</v>
      </c>
      <c r="J96" s="66">
        <f t="shared" si="34"/>
        <v>0</v>
      </c>
      <c r="K96" s="66">
        <f t="shared" si="34"/>
        <v>0</v>
      </c>
      <c r="L96" s="66">
        <f t="shared" si="34"/>
        <v>0</v>
      </c>
      <c r="M96" s="66">
        <f t="shared" si="34"/>
        <v>0</v>
      </c>
      <c r="N96" s="66">
        <f t="shared" si="34"/>
        <v>0</v>
      </c>
      <c r="O96" s="65">
        <f>O97+O140+O164+O187+O196+O228+O212+O121+O216</f>
        <v>7809243</v>
      </c>
      <c r="P96" s="216"/>
    </row>
    <row r="97" spans="2:16" s="49" customFormat="1" ht="12.75" hidden="1">
      <c r="B97" s="24"/>
      <c r="C97" s="14">
        <v>80101</v>
      </c>
      <c r="D97" s="14"/>
      <c r="E97" s="17" t="s">
        <v>30</v>
      </c>
      <c r="F97" s="57">
        <f>SUM(F98:F120)</f>
        <v>3649800</v>
      </c>
      <c r="G97" s="222">
        <f>SUM(G98:G120)</f>
        <v>0</v>
      </c>
      <c r="H97" s="58">
        <f aca="true" t="shared" si="35" ref="H97:N97">SUM(H98:H120)</f>
        <v>0</v>
      </c>
      <c r="I97" s="58">
        <f t="shared" si="35"/>
        <v>0</v>
      </c>
      <c r="J97" s="58">
        <f t="shared" si="35"/>
        <v>0</v>
      </c>
      <c r="K97" s="58">
        <f t="shared" si="35"/>
        <v>0</v>
      </c>
      <c r="L97" s="58">
        <f t="shared" si="35"/>
        <v>0</v>
      </c>
      <c r="M97" s="58">
        <f t="shared" si="35"/>
        <v>0</v>
      </c>
      <c r="N97" s="58">
        <f t="shared" si="35"/>
        <v>0</v>
      </c>
      <c r="O97" s="160">
        <f>SUM(O98:O120)</f>
        <v>3649800</v>
      </c>
      <c r="P97" s="215"/>
    </row>
    <row r="98" spans="2:16" s="49" customFormat="1" ht="25.5" hidden="1">
      <c r="B98" s="24"/>
      <c r="C98" s="27"/>
      <c r="D98" s="27">
        <v>3020</v>
      </c>
      <c r="E98" s="28" t="s">
        <v>61</v>
      </c>
      <c r="F98" s="42">
        <v>129350</v>
      </c>
      <c r="G98" s="365"/>
      <c r="H98" s="82"/>
      <c r="I98" s="82"/>
      <c r="J98" s="82"/>
      <c r="K98" s="82"/>
      <c r="L98" s="82"/>
      <c r="M98" s="82"/>
      <c r="N98" s="82"/>
      <c r="O98" s="128">
        <f aca="true" t="shared" si="36" ref="O98:O120">F98+G98+H98+I98+J98+K98+L98+M98+N98</f>
        <v>129350</v>
      </c>
      <c r="P98" s="197"/>
    </row>
    <row r="99" spans="2:16" s="49" customFormat="1" ht="12.75" customHeight="1" hidden="1">
      <c r="B99" s="24"/>
      <c r="C99" s="27"/>
      <c r="D99" s="27">
        <v>3260</v>
      </c>
      <c r="E99" s="28" t="s">
        <v>192</v>
      </c>
      <c r="F99" s="42"/>
      <c r="G99" s="365"/>
      <c r="H99" s="82"/>
      <c r="I99" s="82"/>
      <c r="J99" s="82"/>
      <c r="K99" s="82"/>
      <c r="L99" s="82"/>
      <c r="M99" s="82"/>
      <c r="N99" s="82"/>
      <c r="O99" s="128">
        <f t="shared" si="36"/>
        <v>0</v>
      </c>
      <c r="P99" s="197"/>
    </row>
    <row r="100" spans="2:16" s="49" customFormat="1" ht="12.75" hidden="1">
      <c r="B100" s="24"/>
      <c r="C100" s="27"/>
      <c r="D100" s="27">
        <v>4010</v>
      </c>
      <c r="E100" s="28" t="s">
        <v>57</v>
      </c>
      <c r="F100" s="42">
        <v>2238000</v>
      </c>
      <c r="G100" s="365"/>
      <c r="H100" s="82"/>
      <c r="I100" s="82"/>
      <c r="J100" s="82"/>
      <c r="K100" s="82"/>
      <c r="L100" s="82"/>
      <c r="M100" s="82"/>
      <c r="N100" s="82"/>
      <c r="O100" s="128">
        <f t="shared" si="36"/>
        <v>2238000</v>
      </c>
      <c r="P100" s="197"/>
    </row>
    <row r="101" spans="2:16" s="49" customFormat="1" ht="12.75" hidden="1">
      <c r="B101" s="24"/>
      <c r="C101" s="27"/>
      <c r="D101" s="27">
        <v>4040</v>
      </c>
      <c r="E101" s="28" t="s">
        <v>62</v>
      </c>
      <c r="F101" s="42">
        <v>174200</v>
      </c>
      <c r="G101" s="365"/>
      <c r="H101" s="82"/>
      <c r="I101" s="82"/>
      <c r="J101" s="82"/>
      <c r="K101" s="82"/>
      <c r="L101" s="82"/>
      <c r="M101" s="82"/>
      <c r="N101" s="82"/>
      <c r="O101" s="128">
        <f t="shared" si="36"/>
        <v>174200</v>
      </c>
      <c r="P101" s="197"/>
    </row>
    <row r="102" spans="2:16" s="49" customFormat="1" ht="12.75" hidden="1">
      <c r="B102" s="24"/>
      <c r="C102" s="27"/>
      <c r="D102" s="27">
        <v>4110</v>
      </c>
      <c r="E102" s="28" t="s">
        <v>58</v>
      </c>
      <c r="F102" s="42">
        <v>375800</v>
      </c>
      <c r="G102" s="365"/>
      <c r="H102" s="82"/>
      <c r="I102" s="82"/>
      <c r="J102" s="82"/>
      <c r="K102" s="82"/>
      <c r="L102" s="82"/>
      <c r="M102" s="82"/>
      <c r="N102" s="82"/>
      <c r="O102" s="128">
        <f t="shared" si="36"/>
        <v>375800</v>
      </c>
      <c r="P102" s="197"/>
    </row>
    <row r="103" spans="2:16" s="49" customFormat="1" ht="12.75" hidden="1">
      <c r="B103" s="24"/>
      <c r="C103" s="27"/>
      <c r="D103" s="27">
        <v>4120</v>
      </c>
      <c r="E103" s="28" t="s">
        <v>144</v>
      </c>
      <c r="F103" s="42">
        <v>62450</v>
      </c>
      <c r="G103" s="365"/>
      <c r="H103" s="82"/>
      <c r="I103" s="82"/>
      <c r="J103" s="82"/>
      <c r="K103" s="82"/>
      <c r="L103" s="82"/>
      <c r="M103" s="82"/>
      <c r="N103" s="82"/>
      <c r="O103" s="128">
        <f t="shared" si="36"/>
        <v>62450</v>
      </c>
      <c r="P103" s="197"/>
    </row>
    <row r="104" spans="2:16" s="49" customFormat="1" ht="12.75" hidden="1">
      <c r="B104" s="24"/>
      <c r="C104" s="27"/>
      <c r="D104" s="27">
        <v>4210</v>
      </c>
      <c r="E104" s="28" t="s">
        <v>39</v>
      </c>
      <c r="F104" s="42">
        <v>216000</v>
      </c>
      <c r="G104" s="365"/>
      <c r="H104" s="82"/>
      <c r="I104" s="82"/>
      <c r="J104" s="82"/>
      <c r="K104" s="82"/>
      <c r="L104" s="82"/>
      <c r="M104" s="82"/>
      <c r="N104" s="82"/>
      <c r="O104" s="128">
        <f t="shared" si="36"/>
        <v>216000</v>
      </c>
      <c r="P104" s="197"/>
    </row>
    <row r="105" spans="2:16" s="49" customFormat="1" ht="12.75" hidden="1">
      <c r="B105" s="24"/>
      <c r="C105" s="27"/>
      <c r="D105" s="27">
        <v>4240</v>
      </c>
      <c r="E105" s="28" t="s">
        <v>147</v>
      </c>
      <c r="F105" s="42">
        <v>800</v>
      </c>
      <c r="G105" s="365"/>
      <c r="H105" s="82"/>
      <c r="I105" s="82"/>
      <c r="J105" s="82"/>
      <c r="K105" s="82"/>
      <c r="L105" s="82"/>
      <c r="M105" s="82"/>
      <c r="N105" s="82"/>
      <c r="O105" s="128">
        <f t="shared" si="36"/>
        <v>800</v>
      </c>
      <c r="P105" s="197"/>
    </row>
    <row r="106" spans="2:16" s="49" customFormat="1" ht="12.75" hidden="1">
      <c r="B106" s="24"/>
      <c r="C106" s="27"/>
      <c r="D106" s="27">
        <v>4260</v>
      </c>
      <c r="E106" s="28" t="s">
        <v>59</v>
      </c>
      <c r="F106" s="42">
        <v>140800</v>
      </c>
      <c r="G106" s="365"/>
      <c r="H106" s="82"/>
      <c r="I106" s="82"/>
      <c r="J106" s="82"/>
      <c r="K106" s="82"/>
      <c r="L106" s="82"/>
      <c r="M106" s="82"/>
      <c r="N106" s="82"/>
      <c r="O106" s="128">
        <f t="shared" si="36"/>
        <v>140800</v>
      </c>
      <c r="P106" s="197"/>
    </row>
    <row r="107" spans="2:16" s="49" customFormat="1" ht="12.75" hidden="1">
      <c r="B107" s="24"/>
      <c r="C107" s="27"/>
      <c r="D107" s="27">
        <v>4270</v>
      </c>
      <c r="E107" s="28" t="s">
        <v>40</v>
      </c>
      <c r="F107" s="42">
        <v>35500</v>
      </c>
      <c r="G107" s="365"/>
      <c r="H107" s="82"/>
      <c r="I107" s="82"/>
      <c r="J107" s="82"/>
      <c r="K107" s="82"/>
      <c r="L107" s="82"/>
      <c r="M107" s="82"/>
      <c r="N107" s="82"/>
      <c r="O107" s="128">
        <f t="shared" si="36"/>
        <v>35500</v>
      </c>
      <c r="P107" s="197"/>
    </row>
    <row r="108" spans="2:16" s="49" customFormat="1" ht="12.75" hidden="1">
      <c r="B108" s="24"/>
      <c r="C108" s="27"/>
      <c r="D108" s="27">
        <v>4280</v>
      </c>
      <c r="E108" s="28" t="s">
        <v>64</v>
      </c>
      <c r="F108" s="42">
        <v>11100</v>
      </c>
      <c r="G108" s="365"/>
      <c r="H108" s="82"/>
      <c r="I108" s="82"/>
      <c r="J108" s="82"/>
      <c r="K108" s="82"/>
      <c r="L108" s="82"/>
      <c r="M108" s="82"/>
      <c r="N108" s="82"/>
      <c r="O108" s="128">
        <f t="shared" si="36"/>
        <v>11100</v>
      </c>
      <c r="P108" s="197"/>
    </row>
    <row r="109" spans="2:16" s="49" customFormat="1" ht="12.75" hidden="1">
      <c r="B109" s="24"/>
      <c r="C109" s="27"/>
      <c r="D109" s="27">
        <v>4300</v>
      </c>
      <c r="E109" s="28" t="s">
        <v>41</v>
      </c>
      <c r="F109" s="42">
        <v>62000</v>
      </c>
      <c r="G109" s="365"/>
      <c r="H109" s="82"/>
      <c r="I109" s="82"/>
      <c r="J109" s="82"/>
      <c r="K109" s="82"/>
      <c r="L109" s="82"/>
      <c r="M109" s="82"/>
      <c r="N109" s="82"/>
      <c r="O109" s="128">
        <f t="shared" si="36"/>
        <v>62000</v>
      </c>
      <c r="P109" s="197"/>
    </row>
    <row r="110" spans="2:16" s="49" customFormat="1" ht="12.75" hidden="1">
      <c r="B110" s="24"/>
      <c r="C110" s="27"/>
      <c r="D110" s="27">
        <v>4350</v>
      </c>
      <c r="E110" s="28" t="s">
        <v>65</v>
      </c>
      <c r="F110" s="42">
        <v>9000</v>
      </c>
      <c r="G110" s="365"/>
      <c r="H110" s="82"/>
      <c r="I110" s="82"/>
      <c r="J110" s="82"/>
      <c r="K110" s="82"/>
      <c r="L110" s="82"/>
      <c r="M110" s="82"/>
      <c r="N110" s="82"/>
      <c r="O110" s="128">
        <f t="shared" si="36"/>
        <v>9000</v>
      </c>
      <c r="P110" s="197"/>
    </row>
    <row r="111" spans="2:16" s="49" customFormat="1" ht="27" customHeight="1" hidden="1">
      <c r="B111" s="24"/>
      <c r="C111" s="27"/>
      <c r="D111" s="27">
        <v>4360</v>
      </c>
      <c r="E111" s="28" t="s">
        <v>66</v>
      </c>
      <c r="F111" s="42">
        <v>5400</v>
      </c>
      <c r="G111" s="365"/>
      <c r="H111" s="82"/>
      <c r="I111" s="82"/>
      <c r="J111" s="82"/>
      <c r="K111" s="82"/>
      <c r="L111" s="82"/>
      <c r="M111" s="82"/>
      <c r="N111" s="82"/>
      <c r="O111" s="128">
        <f t="shared" si="36"/>
        <v>5400</v>
      </c>
      <c r="P111" s="197"/>
    </row>
    <row r="112" spans="2:16" s="49" customFormat="1" ht="26.25" customHeight="1" hidden="1">
      <c r="B112" s="24"/>
      <c r="C112" s="27"/>
      <c r="D112" s="27">
        <v>4370</v>
      </c>
      <c r="E112" s="28" t="s">
        <v>67</v>
      </c>
      <c r="F112" s="42">
        <v>11700</v>
      </c>
      <c r="G112" s="365"/>
      <c r="H112" s="82"/>
      <c r="I112" s="82"/>
      <c r="J112" s="82"/>
      <c r="K112" s="82"/>
      <c r="L112" s="82"/>
      <c r="M112" s="82"/>
      <c r="N112" s="82"/>
      <c r="O112" s="128">
        <f t="shared" si="36"/>
        <v>11700</v>
      </c>
      <c r="P112" s="197"/>
    </row>
    <row r="113" spans="2:16" s="49" customFormat="1" ht="12.75" hidden="1">
      <c r="B113" s="24"/>
      <c r="C113" s="27"/>
      <c r="D113" s="27">
        <v>4410</v>
      </c>
      <c r="E113" s="28" t="s">
        <v>60</v>
      </c>
      <c r="F113" s="42">
        <v>8000</v>
      </c>
      <c r="G113" s="365"/>
      <c r="H113" s="82"/>
      <c r="I113" s="82"/>
      <c r="J113" s="82"/>
      <c r="K113" s="82"/>
      <c r="L113" s="82"/>
      <c r="M113" s="82"/>
      <c r="N113" s="82"/>
      <c r="O113" s="128">
        <f t="shared" si="36"/>
        <v>8000</v>
      </c>
      <c r="P113" s="197"/>
    </row>
    <row r="114" spans="2:16" s="49" customFormat="1" ht="12.75" hidden="1">
      <c r="B114" s="24"/>
      <c r="C114" s="27"/>
      <c r="D114" s="27">
        <v>4420</v>
      </c>
      <c r="E114" s="28" t="s">
        <v>201</v>
      </c>
      <c r="F114" s="42">
        <v>500</v>
      </c>
      <c r="G114" s="365"/>
      <c r="H114" s="82"/>
      <c r="I114" s="82"/>
      <c r="J114" s="82"/>
      <c r="K114" s="82"/>
      <c r="L114" s="82"/>
      <c r="M114" s="82"/>
      <c r="N114" s="82"/>
      <c r="O114" s="128">
        <f t="shared" si="36"/>
        <v>500</v>
      </c>
      <c r="P114" s="197"/>
    </row>
    <row r="115" spans="2:16" s="49" customFormat="1" ht="12.75" hidden="1">
      <c r="B115" s="24"/>
      <c r="C115" s="27"/>
      <c r="D115" s="27">
        <v>4430</v>
      </c>
      <c r="E115" s="28" t="s">
        <v>148</v>
      </c>
      <c r="F115" s="42">
        <v>5900</v>
      </c>
      <c r="G115" s="365"/>
      <c r="H115" s="82"/>
      <c r="I115" s="82"/>
      <c r="J115" s="82"/>
      <c r="K115" s="82"/>
      <c r="L115" s="82"/>
      <c r="M115" s="82"/>
      <c r="N115" s="82"/>
      <c r="O115" s="128">
        <f t="shared" si="36"/>
        <v>5900</v>
      </c>
      <c r="P115" s="197"/>
    </row>
    <row r="116" spans="2:16" s="49" customFormat="1" ht="28.5" customHeight="1" hidden="1">
      <c r="B116" s="24"/>
      <c r="C116" s="27"/>
      <c r="D116" s="27">
        <v>4440</v>
      </c>
      <c r="E116" s="28" t="s">
        <v>68</v>
      </c>
      <c r="F116" s="42">
        <v>121900</v>
      </c>
      <c r="G116" s="365"/>
      <c r="H116" s="82"/>
      <c r="I116" s="82"/>
      <c r="J116" s="82"/>
      <c r="K116" s="82"/>
      <c r="L116" s="82"/>
      <c r="M116" s="82"/>
      <c r="N116" s="82"/>
      <c r="O116" s="128">
        <f t="shared" si="36"/>
        <v>121900</v>
      </c>
      <c r="P116" s="197"/>
    </row>
    <row r="117" spans="2:16" s="49" customFormat="1" ht="38.25" hidden="1">
      <c r="B117" s="24"/>
      <c r="C117" s="27"/>
      <c r="D117" s="27">
        <v>4740</v>
      </c>
      <c r="E117" s="28" t="s">
        <v>69</v>
      </c>
      <c r="F117" s="42">
        <v>8100</v>
      </c>
      <c r="G117" s="365"/>
      <c r="H117" s="82"/>
      <c r="I117" s="82"/>
      <c r="J117" s="82"/>
      <c r="K117" s="82"/>
      <c r="L117" s="82"/>
      <c r="M117" s="82"/>
      <c r="N117" s="82"/>
      <c r="O117" s="128">
        <f t="shared" si="36"/>
        <v>8100</v>
      </c>
      <c r="P117" s="197"/>
    </row>
    <row r="118" spans="2:16" s="49" customFormat="1" ht="25.5" hidden="1">
      <c r="B118" s="24"/>
      <c r="C118" s="27"/>
      <c r="D118" s="27">
        <v>4750</v>
      </c>
      <c r="E118" s="28" t="s">
        <v>70</v>
      </c>
      <c r="F118" s="42">
        <v>14000</v>
      </c>
      <c r="G118" s="365"/>
      <c r="H118" s="82"/>
      <c r="I118" s="82"/>
      <c r="J118" s="82"/>
      <c r="K118" s="82"/>
      <c r="L118" s="82"/>
      <c r="M118" s="82"/>
      <c r="N118" s="82"/>
      <c r="O118" s="128">
        <f t="shared" si="36"/>
        <v>14000</v>
      </c>
      <c r="P118" s="197"/>
    </row>
    <row r="119" spans="2:16" s="49" customFormat="1" ht="39" customHeight="1" hidden="1">
      <c r="B119" s="24"/>
      <c r="C119" s="27"/>
      <c r="D119" s="27">
        <v>6050</v>
      </c>
      <c r="E119" s="28" t="s">
        <v>44</v>
      </c>
      <c r="F119" s="42">
        <v>15000</v>
      </c>
      <c r="G119" s="365"/>
      <c r="H119" s="82"/>
      <c r="I119" s="82"/>
      <c r="J119" s="82"/>
      <c r="K119" s="82"/>
      <c r="L119" s="82"/>
      <c r="M119" s="82"/>
      <c r="N119" s="82"/>
      <c r="O119" s="128">
        <f t="shared" si="36"/>
        <v>15000</v>
      </c>
      <c r="P119" s="197"/>
    </row>
    <row r="120" spans="2:16" s="49" customFormat="1" ht="25.5" hidden="1">
      <c r="B120" s="24"/>
      <c r="C120" s="27"/>
      <c r="D120" s="27">
        <v>6060</v>
      </c>
      <c r="E120" s="28" t="s">
        <v>55</v>
      </c>
      <c r="F120" s="42">
        <v>4300</v>
      </c>
      <c r="G120" s="365"/>
      <c r="H120" s="82"/>
      <c r="I120" s="82"/>
      <c r="J120" s="82"/>
      <c r="K120" s="82"/>
      <c r="L120" s="82"/>
      <c r="M120" s="82"/>
      <c r="N120" s="82"/>
      <c r="O120" s="128">
        <f t="shared" si="36"/>
        <v>4300</v>
      </c>
      <c r="P120" s="197"/>
    </row>
    <row r="121" spans="2:16" s="49" customFormat="1" ht="28.5" customHeight="1" hidden="1">
      <c r="B121" s="24"/>
      <c r="C121" s="14">
        <v>80103</v>
      </c>
      <c r="D121" s="14"/>
      <c r="E121" s="17" t="s">
        <v>149</v>
      </c>
      <c r="F121" s="57">
        <f>SUM(F122:F139)</f>
        <v>476060</v>
      </c>
      <c r="G121" s="222">
        <f>SUM(G122:G139)</f>
        <v>0</v>
      </c>
      <c r="H121" s="58">
        <f aca="true" t="shared" si="37" ref="H121:N121">SUM(H122:H139)</f>
        <v>0</v>
      </c>
      <c r="I121" s="58">
        <f t="shared" si="37"/>
        <v>0</v>
      </c>
      <c r="J121" s="58">
        <f t="shared" si="37"/>
        <v>0</v>
      </c>
      <c r="K121" s="58">
        <f t="shared" si="37"/>
        <v>0</v>
      </c>
      <c r="L121" s="58">
        <f t="shared" si="37"/>
        <v>0</v>
      </c>
      <c r="M121" s="58">
        <f t="shared" si="37"/>
        <v>0</v>
      </c>
      <c r="N121" s="58">
        <f t="shared" si="37"/>
        <v>0</v>
      </c>
      <c r="O121" s="160">
        <f>SUM(O122:O138)</f>
        <v>476060</v>
      </c>
      <c r="P121" s="215"/>
    </row>
    <row r="122" spans="2:16" s="49" customFormat="1" ht="25.5" hidden="1">
      <c r="B122" s="24"/>
      <c r="C122" s="27"/>
      <c r="D122" s="27">
        <v>3020</v>
      </c>
      <c r="E122" s="28" t="s">
        <v>61</v>
      </c>
      <c r="F122" s="42">
        <v>14700</v>
      </c>
      <c r="G122" s="365"/>
      <c r="H122" s="82"/>
      <c r="I122" s="82"/>
      <c r="J122" s="82"/>
      <c r="K122" s="82"/>
      <c r="L122" s="82"/>
      <c r="M122" s="82"/>
      <c r="N122" s="82"/>
      <c r="O122" s="128">
        <f aca="true" t="shared" si="38" ref="O122:O138">F122+G122+H122+I122+J122+K122+L122+M122+N122</f>
        <v>14700</v>
      </c>
      <c r="P122" s="197"/>
    </row>
    <row r="123" spans="2:16" s="49" customFormat="1" ht="12.75" hidden="1">
      <c r="B123" s="24"/>
      <c r="C123" s="27"/>
      <c r="D123" s="27">
        <v>4010</v>
      </c>
      <c r="E123" s="28" t="s">
        <v>57</v>
      </c>
      <c r="F123" s="42">
        <v>315700</v>
      </c>
      <c r="G123" s="365"/>
      <c r="H123" s="82"/>
      <c r="I123" s="82"/>
      <c r="J123" s="82"/>
      <c r="K123" s="82"/>
      <c r="L123" s="82"/>
      <c r="M123" s="82"/>
      <c r="N123" s="82"/>
      <c r="O123" s="128">
        <f t="shared" si="38"/>
        <v>315700</v>
      </c>
      <c r="P123" s="197"/>
    </row>
    <row r="124" spans="2:16" s="49" customFormat="1" ht="12.75" hidden="1">
      <c r="B124" s="24"/>
      <c r="C124" s="27"/>
      <c r="D124" s="27">
        <v>4040</v>
      </c>
      <c r="E124" s="28" t="s">
        <v>62</v>
      </c>
      <c r="F124" s="42">
        <v>24700</v>
      </c>
      <c r="G124" s="365"/>
      <c r="H124" s="82"/>
      <c r="I124" s="82"/>
      <c r="J124" s="82"/>
      <c r="K124" s="82"/>
      <c r="L124" s="82"/>
      <c r="M124" s="82"/>
      <c r="N124" s="82"/>
      <c r="O124" s="128">
        <f t="shared" si="38"/>
        <v>24700</v>
      </c>
      <c r="P124" s="197"/>
    </row>
    <row r="125" spans="2:16" s="49" customFormat="1" ht="12.75" hidden="1">
      <c r="B125" s="24"/>
      <c r="C125" s="27"/>
      <c r="D125" s="27">
        <v>4110</v>
      </c>
      <c r="E125" s="28" t="s">
        <v>58</v>
      </c>
      <c r="F125" s="42">
        <v>55100</v>
      </c>
      <c r="G125" s="365"/>
      <c r="H125" s="82"/>
      <c r="I125" s="82"/>
      <c r="J125" s="82"/>
      <c r="K125" s="82"/>
      <c r="L125" s="82"/>
      <c r="M125" s="82"/>
      <c r="N125" s="82"/>
      <c r="O125" s="128">
        <f t="shared" si="38"/>
        <v>55100</v>
      </c>
      <c r="P125" s="197"/>
    </row>
    <row r="126" spans="2:16" s="49" customFormat="1" ht="12.75" hidden="1">
      <c r="B126" s="24"/>
      <c r="C126" s="27"/>
      <c r="D126" s="27">
        <v>4120</v>
      </c>
      <c r="E126" s="28" t="s">
        <v>144</v>
      </c>
      <c r="F126" s="42">
        <v>9760</v>
      </c>
      <c r="G126" s="365"/>
      <c r="H126" s="82"/>
      <c r="I126" s="82"/>
      <c r="J126" s="82"/>
      <c r="K126" s="82"/>
      <c r="L126" s="82"/>
      <c r="M126" s="82"/>
      <c r="N126" s="82"/>
      <c r="O126" s="128">
        <f t="shared" si="38"/>
        <v>9760</v>
      </c>
      <c r="P126" s="197"/>
    </row>
    <row r="127" spans="2:16" s="49" customFormat="1" ht="12.75" hidden="1">
      <c r="B127" s="24"/>
      <c r="C127" s="27"/>
      <c r="D127" s="27">
        <v>4210</v>
      </c>
      <c r="E127" s="28" t="s">
        <v>39</v>
      </c>
      <c r="F127" s="42">
        <v>10000</v>
      </c>
      <c r="G127" s="365"/>
      <c r="H127" s="82"/>
      <c r="I127" s="82"/>
      <c r="J127" s="82"/>
      <c r="K127" s="82"/>
      <c r="L127" s="82"/>
      <c r="M127" s="82"/>
      <c r="N127" s="82"/>
      <c r="O127" s="128">
        <f t="shared" si="38"/>
        <v>10000</v>
      </c>
      <c r="P127" s="197"/>
    </row>
    <row r="128" spans="2:16" s="49" customFormat="1" ht="12.75" hidden="1">
      <c r="B128" s="24"/>
      <c r="C128" s="27"/>
      <c r="D128" s="27">
        <v>4240</v>
      </c>
      <c r="E128" s="28" t="s">
        <v>147</v>
      </c>
      <c r="F128" s="42">
        <v>0</v>
      </c>
      <c r="G128" s="365"/>
      <c r="H128" s="82"/>
      <c r="I128" s="82"/>
      <c r="J128" s="82"/>
      <c r="K128" s="82"/>
      <c r="L128" s="82"/>
      <c r="M128" s="82"/>
      <c r="N128" s="82"/>
      <c r="O128" s="128">
        <f t="shared" si="38"/>
        <v>0</v>
      </c>
      <c r="P128" s="197"/>
    </row>
    <row r="129" spans="2:16" s="49" customFormat="1" ht="12.75" hidden="1">
      <c r="B129" s="24"/>
      <c r="C129" s="27"/>
      <c r="D129" s="27">
        <v>4260</v>
      </c>
      <c r="E129" s="28" t="s">
        <v>59</v>
      </c>
      <c r="F129" s="42">
        <v>11000</v>
      </c>
      <c r="G129" s="365"/>
      <c r="H129" s="82"/>
      <c r="I129" s="82"/>
      <c r="J129" s="82"/>
      <c r="K129" s="82"/>
      <c r="L129" s="82"/>
      <c r="M129" s="82"/>
      <c r="N129" s="82"/>
      <c r="O129" s="128">
        <f t="shared" si="38"/>
        <v>11000</v>
      </c>
      <c r="P129" s="197"/>
    </row>
    <row r="130" spans="2:16" s="49" customFormat="1" ht="12.75" hidden="1">
      <c r="B130" s="24"/>
      <c r="C130" s="27"/>
      <c r="D130" s="27">
        <v>4270</v>
      </c>
      <c r="E130" s="28" t="s">
        <v>40</v>
      </c>
      <c r="F130" s="42">
        <v>5000</v>
      </c>
      <c r="G130" s="365"/>
      <c r="H130" s="82"/>
      <c r="I130" s="82"/>
      <c r="J130" s="82"/>
      <c r="K130" s="82"/>
      <c r="L130" s="82"/>
      <c r="M130" s="82"/>
      <c r="N130" s="82"/>
      <c r="O130" s="128">
        <f t="shared" si="38"/>
        <v>5000</v>
      </c>
      <c r="P130" s="197"/>
    </row>
    <row r="131" spans="2:16" s="49" customFormat="1" ht="12.75" hidden="1">
      <c r="B131" s="24"/>
      <c r="C131" s="27"/>
      <c r="D131" s="27">
        <v>4280</v>
      </c>
      <c r="E131" s="28" t="s">
        <v>64</v>
      </c>
      <c r="F131" s="42">
        <v>2000</v>
      </c>
      <c r="G131" s="365"/>
      <c r="H131" s="82"/>
      <c r="I131" s="82"/>
      <c r="J131" s="82"/>
      <c r="K131" s="82"/>
      <c r="L131" s="82"/>
      <c r="M131" s="82"/>
      <c r="N131" s="82"/>
      <c r="O131" s="128">
        <f t="shared" si="38"/>
        <v>2000</v>
      </c>
      <c r="P131" s="197"/>
    </row>
    <row r="132" spans="2:16" s="49" customFormat="1" ht="12.75" hidden="1">
      <c r="B132" s="24"/>
      <c r="C132" s="27"/>
      <c r="D132" s="27">
        <v>4300</v>
      </c>
      <c r="E132" s="28" t="s">
        <v>41</v>
      </c>
      <c r="F132" s="42">
        <v>4000</v>
      </c>
      <c r="G132" s="365"/>
      <c r="H132" s="82"/>
      <c r="I132" s="82"/>
      <c r="J132" s="82"/>
      <c r="K132" s="82"/>
      <c r="L132" s="82"/>
      <c r="M132" s="82"/>
      <c r="N132" s="82"/>
      <c r="O132" s="128">
        <f t="shared" si="38"/>
        <v>4000</v>
      </c>
      <c r="P132" s="197"/>
    </row>
    <row r="133" spans="2:16" s="49" customFormat="1" ht="25.5" customHeight="1" hidden="1">
      <c r="B133" s="24"/>
      <c r="C133" s="27"/>
      <c r="D133" s="27">
        <v>4350</v>
      </c>
      <c r="E133" s="28" t="s">
        <v>65</v>
      </c>
      <c r="F133" s="42"/>
      <c r="G133" s="365"/>
      <c r="H133" s="82"/>
      <c r="I133" s="82"/>
      <c r="J133" s="82"/>
      <c r="K133" s="82"/>
      <c r="L133" s="82"/>
      <c r="M133" s="82"/>
      <c r="N133" s="82"/>
      <c r="O133" s="128">
        <f t="shared" si="38"/>
        <v>0</v>
      </c>
      <c r="P133" s="197"/>
    </row>
    <row r="134" spans="2:16" s="49" customFormat="1" ht="26.25" customHeight="1" hidden="1">
      <c r="B134" s="24"/>
      <c r="C134" s="27"/>
      <c r="D134" s="27">
        <v>4370</v>
      </c>
      <c r="E134" s="28" t="s">
        <v>67</v>
      </c>
      <c r="F134" s="42">
        <v>1500</v>
      </c>
      <c r="G134" s="365"/>
      <c r="H134" s="82"/>
      <c r="I134" s="82"/>
      <c r="J134" s="82"/>
      <c r="K134" s="82"/>
      <c r="L134" s="82"/>
      <c r="M134" s="82"/>
      <c r="N134" s="82"/>
      <c r="O134" s="128">
        <f t="shared" si="38"/>
        <v>1500</v>
      </c>
      <c r="P134" s="197"/>
    </row>
    <row r="135" spans="2:16" s="49" customFormat="1" ht="12.75" hidden="1">
      <c r="B135" s="24"/>
      <c r="C135" s="27"/>
      <c r="D135" s="27">
        <v>4410</v>
      </c>
      <c r="E135" s="28" t="s">
        <v>60</v>
      </c>
      <c r="F135" s="42">
        <v>700</v>
      </c>
      <c r="G135" s="365"/>
      <c r="H135" s="82"/>
      <c r="I135" s="82"/>
      <c r="J135" s="82"/>
      <c r="K135" s="82"/>
      <c r="L135" s="82"/>
      <c r="M135" s="82"/>
      <c r="N135" s="82"/>
      <c r="O135" s="128">
        <f t="shared" si="38"/>
        <v>700</v>
      </c>
      <c r="P135" s="197"/>
    </row>
    <row r="136" spans="2:16" s="49" customFormat="1" ht="27" customHeight="1" hidden="1">
      <c r="B136" s="24"/>
      <c r="C136" s="27"/>
      <c r="D136" s="27">
        <v>4440</v>
      </c>
      <c r="E136" s="28" t="s">
        <v>68</v>
      </c>
      <c r="F136" s="42">
        <v>18500</v>
      </c>
      <c r="G136" s="365"/>
      <c r="H136" s="82"/>
      <c r="I136" s="82"/>
      <c r="J136" s="82"/>
      <c r="K136" s="82"/>
      <c r="L136" s="82"/>
      <c r="M136" s="82"/>
      <c r="N136" s="82"/>
      <c r="O136" s="128">
        <f t="shared" si="38"/>
        <v>18500</v>
      </c>
      <c r="P136" s="197"/>
    </row>
    <row r="137" spans="2:16" s="49" customFormat="1" ht="38.25" hidden="1">
      <c r="B137" s="24"/>
      <c r="C137" s="27"/>
      <c r="D137" s="27">
        <v>4740</v>
      </c>
      <c r="E137" s="28" t="s">
        <v>69</v>
      </c>
      <c r="F137" s="42">
        <v>2400</v>
      </c>
      <c r="G137" s="365"/>
      <c r="H137" s="82"/>
      <c r="I137" s="82"/>
      <c r="J137" s="82"/>
      <c r="K137" s="82"/>
      <c r="L137" s="82"/>
      <c r="M137" s="82"/>
      <c r="N137" s="82"/>
      <c r="O137" s="128">
        <f t="shared" si="38"/>
        <v>2400</v>
      </c>
      <c r="P137" s="197"/>
    </row>
    <row r="138" spans="2:16" s="49" customFormat="1" ht="25.5" hidden="1">
      <c r="B138" s="24"/>
      <c r="C138" s="27"/>
      <c r="D138" s="27">
        <v>4750</v>
      </c>
      <c r="E138" s="28" t="s">
        <v>70</v>
      </c>
      <c r="F138" s="42">
        <v>1000</v>
      </c>
      <c r="G138" s="365"/>
      <c r="H138" s="82"/>
      <c r="I138" s="82"/>
      <c r="J138" s="82"/>
      <c r="K138" s="82"/>
      <c r="L138" s="82"/>
      <c r="M138" s="82"/>
      <c r="N138" s="82"/>
      <c r="O138" s="128">
        <f t="shared" si="38"/>
        <v>1000</v>
      </c>
      <c r="P138" s="197"/>
    </row>
    <row r="139" spans="2:16" s="49" customFormat="1" ht="28.5" customHeight="1" hidden="1">
      <c r="B139" s="24"/>
      <c r="C139" s="27"/>
      <c r="D139" s="27">
        <v>6060</v>
      </c>
      <c r="E139" s="28" t="s">
        <v>55</v>
      </c>
      <c r="F139" s="42"/>
      <c r="G139" s="365"/>
      <c r="H139" s="82"/>
      <c r="I139" s="82"/>
      <c r="J139" s="82"/>
      <c r="K139" s="82"/>
      <c r="L139" s="82"/>
      <c r="M139" s="82"/>
      <c r="N139" s="82"/>
      <c r="O139" s="128"/>
      <c r="P139" s="197"/>
    </row>
    <row r="140" spans="2:16" s="49" customFormat="1" ht="12.75" hidden="1">
      <c r="B140" s="24"/>
      <c r="C140" s="14">
        <v>80104</v>
      </c>
      <c r="D140" s="14"/>
      <c r="E140" s="17" t="s">
        <v>32</v>
      </c>
      <c r="F140" s="57">
        <f>SUM(F141:F163)</f>
        <v>1199000</v>
      </c>
      <c r="G140" s="222">
        <f>SUM(G141:N163)</f>
        <v>0</v>
      </c>
      <c r="H140" s="58">
        <f>SUM(H141:H163)</f>
        <v>0</v>
      </c>
      <c r="I140" s="58">
        <f aca="true" t="shared" si="39" ref="I140:N140">SUM(I142:I163)</f>
        <v>0</v>
      </c>
      <c r="J140" s="58">
        <f t="shared" si="39"/>
        <v>0</v>
      </c>
      <c r="K140" s="58">
        <f t="shared" si="39"/>
        <v>0</v>
      </c>
      <c r="L140" s="58">
        <f t="shared" si="39"/>
        <v>0</v>
      </c>
      <c r="M140" s="58">
        <f t="shared" si="39"/>
        <v>0</v>
      </c>
      <c r="N140" s="58">
        <f t="shared" si="39"/>
        <v>0</v>
      </c>
      <c r="O140" s="160">
        <f>SUM(O141:O163)</f>
        <v>1199000</v>
      </c>
      <c r="P140" s="215"/>
    </row>
    <row r="141" spans="2:16" s="49" customFormat="1" ht="52.5" customHeight="1" hidden="1">
      <c r="B141" s="24"/>
      <c r="C141" s="14"/>
      <c r="D141" s="27">
        <v>2310</v>
      </c>
      <c r="E141" s="28" t="s">
        <v>225</v>
      </c>
      <c r="F141" s="42">
        <v>33000</v>
      </c>
      <c r="G141" s="222"/>
      <c r="H141" s="82"/>
      <c r="I141" s="58"/>
      <c r="J141" s="58"/>
      <c r="K141" s="58"/>
      <c r="L141" s="58"/>
      <c r="M141" s="58"/>
      <c r="N141" s="58"/>
      <c r="O141" s="128">
        <f aca="true" t="shared" si="40" ref="O141:O163">F141+G141+H141+I141+J141+K141+L141+M141+N141</f>
        <v>33000</v>
      </c>
      <c r="P141" s="197"/>
    </row>
    <row r="142" spans="2:16" s="49" customFormat="1" ht="12.75" hidden="1">
      <c r="B142" s="29"/>
      <c r="C142" s="27"/>
      <c r="D142" s="27">
        <v>2540</v>
      </c>
      <c r="E142" s="28" t="s">
        <v>150</v>
      </c>
      <c r="F142" s="42">
        <v>223000</v>
      </c>
      <c r="G142" s="365"/>
      <c r="H142" s="82"/>
      <c r="I142" s="82"/>
      <c r="J142" s="82"/>
      <c r="K142" s="82"/>
      <c r="L142" s="82"/>
      <c r="M142" s="82"/>
      <c r="N142" s="82"/>
      <c r="O142" s="128">
        <f t="shared" si="40"/>
        <v>223000</v>
      </c>
      <c r="P142" s="197"/>
    </row>
    <row r="143" spans="2:16" s="49" customFormat="1" ht="25.5" hidden="1">
      <c r="B143" s="24"/>
      <c r="C143" s="27"/>
      <c r="D143" s="27">
        <v>3020</v>
      </c>
      <c r="E143" s="28" t="s">
        <v>61</v>
      </c>
      <c r="F143" s="42">
        <v>32700</v>
      </c>
      <c r="G143" s="365"/>
      <c r="H143" s="82"/>
      <c r="I143" s="82"/>
      <c r="J143" s="82"/>
      <c r="K143" s="82"/>
      <c r="L143" s="82"/>
      <c r="M143" s="82"/>
      <c r="N143" s="82"/>
      <c r="O143" s="128">
        <f t="shared" si="40"/>
        <v>32700</v>
      </c>
      <c r="P143" s="197"/>
    </row>
    <row r="144" spans="2:16" s="49" customFormat="1" ht="12.75" hidden="1">
      <c r="B144" s="24"/>
      <c r="C144" s="27"/>
      <c r="D144" s="27">
        <v>4010</v>
      </c>
      <c r="E144" s="28" t="s">
        <v>57</v>
      </c>
      <c r="F144" s="42">
        <v>608000</v>
      </c>
      <c r="G144" s="365"/>
      <c r="H144" s="82"/>
      <c r="I144" s="82"/>
      <c r="J144" s="82"/>
      <c r="K144" s="82"/>
      <c r="L144" s="82"/>
      <c r="M144" s="82"/>
      <c r="N144" s="82"/>
      <c r="O144" s="128">
        <f t="shared" si="40"/>
        <v>608000</v>
      </c>
      <c r="P144" s="197"/>
    </row>
    <row r="145" spans="2:16" s="49" customFormat="1" ht="12.75" hidden="1">
      <c r="B145" s="24"/>
      <c r="C145" s="27"/>
      <c r="D145" s="27">
        <v>4040</v>
      </c>
      <c r="E145" s="28" t="s">
        <v>62</v>
      </c>
      <c r="F145" s="42">
        <v>45100</v>
      </c>
      <c r="G145" s="365"/>
      <c r="H145" s="82"/>
      <c r="I145" s="82"/>
      <c r="J145" s="82"/>
      <c r="K145" s="82"/>
      <c r="L145" s="82"/>
      <c r="M145" s="82"/>
      <c r="N145" s="82"/>
      <c r="O145" s="128">
        <f t="shared" si="40"/>
        <v>45100</v>
      </c>
      <c r="P145" s="197"/>
    </row>
    <row r="146" spans="2:16" s="49" customFormat="1" ht="12.75" hidden="1">
      <c r="B146" s="24"/>
      <c r="C146" s="27"/>
      <c r="D146" s="27">
        <v>4110</v>
      </c>
      <c r="E146" s="28" t="s">
        <v>58</v>
      </c>
      <c r="F146" s="42">
        <v>100000</v>
      </c>
      <c r="G146" s="365"/>
      <c r="H146" s="82"/>
      <c r="I146" s="82"/>
      <c r="J146" s="82"/>
      <c r="K146" s="82"/>
      <c r="L146" s="82"/>
      <c r="M146" s="82"/>
      <c r="N146" s="82"/>
      <c r="O146" s="128">
        <f t="shared" si="40"/>
        <v>100000</v>
      </c>
      <c r="P146" s="197"/>
    </row>
    <row r="147" spans="2:16" s="49" customFormat="1" ht="12.75" hidden="1">
      <c r="B147" s="24"/>
      <c r="C147" s="27"/>
      <c r="D147" s="27">
        <v>4120</v>
      </c>
      <c r="E147" s="28" t="s">
        <v>144</v>
      </c>
      <c r="F147" s="42">
        <v>17000</v>
      </c>
      <c r="G147" s="365"/>
      <c r="H147" s="82"/>
      <c r="I147" s="82"/>
      <c r="J147" s="82"/>
      <c r="K147" s="82"/>
      <c r="L147" s="82"/>
      <c r="M147" s="82"/>
      <c r="N147" s="82"/>
      <c r="O147" s="128">
        <f t="shared" si="40"/>
        <v>17000</v>
      </c>
      <c r="P147" s="197"/>
    </row>
    <row r="148" spans="2:16" s="49" customFormat="1" ht="12.75" customHeight="1" hidden="1">
      <c r="B148" s="24"/>
      <c r="C148" s="27"/>
      <c r="D148" s="27">
        <v>4170</v>
      </c>
      <c r="E148" s="28" t="s">
        <v>63</v>
      </c>
      <c r="F148" s="42"/>
      <c r="G148" s="365"/>
      <c r="H148" s="82"/>
      <c r="I148" s="82"/>
      <c r="J148" s="82"/>
      <c r="K148" s="82"/>
      <c r="L148" s="82"/>
      <c r="M148" s="82"/>
      <c r="N148" s="82"/>
      <c r="O148" s="128">
        <f t="shared" si="40"/>
        <v>0</v>
      </c>
      <c r="P148" s="197"/>
    </row>
    <row r="149" spans="2:16" s="49" customFormat="1" ht="12.75" hidden="1">
      <c r="B149" s="24"/>
      <c r="C149" s="27"/>
      <c r="D149" s="27">
        <v>4210</v>
      </c>
      <c r="E149" s="28" t="s">
        <v>39</v>
      </c>
      <c r="F149" s="42">
        <v>16512</v>
      </c>
      <c r="G149" s="365"/>
      <c r="H149" s="82"/>
      <c r="I149" s="82"/>
      <c r="J149" s="82"/>
      <c r="K149" s="82"/>
      <c r="L149" s="82"/>
      <c r="M149" s="82"/>
      <c r="N149" s="82"/>
      <c r="O149" s="128">
        <f t="shared" si="40"/>
        <v>16512</v>
      </c>
      <c r="P149" s="197"/>
    </row>
    <row r="150" spans="2:16" s="49" customFormat="1" ht="12.75" hidden="1">
      <c r="B150" s="24"/>
      <c r="C150" s="27"/>
      <c r="D150" s="27">
        <v>4240</v>
      </c>
      <c r="E150" s="28" t="s">
        <v>147</v>
      </c>
      <c r="F150" s="42">
        <v>1000</v>
      </c>
      <c r="G150" s="365"/>
      <c r="H150" s="82"/>
      <c r="I150" s="82"/>
      <c r="J150" s="82"/>
      <c r="K150" s="82"/>
      <c r="L150" s="82"/>
      <c r="M150" s="82"/>
      <c r="N150" s="82"/>
      <c r="O150" s="128">
        <f t="shared" si="40"/>
        <v>1000</v>
      </c>
      <c r="P150" s="197"/>
    </row>
    <row r="151" spans="2:16" s="49" customFormat="1" ht="12.75" hidden="1">
      <c r="B151" s="24"/>
      <c r="C151" s="27"/>
      <c r="D151" s="27">
        <v>4260</v>
      </c>
      <c r="E151" s="28" t="s">
        <v>59</v>
      </c>
      <c r="F151" s="42">
        <v>48500</v>
      </c>
      <c r="G151" s="365"/>
      <c r="H151" s="82"/>
      <c r="I151" s="82"/>
      <c r="J151" s="82"/>
      <c r="K151" s="82"/>
      <c r="L151" s="82"/>
      <c r="M151" s="82"/>
      <c r="N151" s="82"/>
      <c r="O151" s="128">
        <f t="shared" si="40"/>
        <v>48500</v>
      </c>
      <c r="P151" s="197"/>
    </row>
    <row r="152" spans="2:16" s="49" customFormat="1" ht="12.75" hidden="1">
      <c r="B152" s="24"/>
      <c r="C152" s="27"/>
      <c r="D152" s="27">
        <v>4270</v>
      </c>
      <c r="E152" s="28" t="s">
        <v>40</v>
      </c>
      <c r="F152" s="42">
        <v>1000</v>
      </c>
      <c r="G152" s="365"/>
      <c r="H152" s="82"/>
      <c r="I152" s="82"/>
      <c r="J152" s="82"/>
      <c r="K152" s="82"/>
      <c r="L152" s="82"/>
      <c r="M152" s="82"/>
      <c r="N152" s="82"/>
      <c r="O152" s="128">
        <f t="shared" si="40"/>
        <v>1000</v>
      </c>
      <c r="P152" s="197"/>
    </row>
    <row r="153" spans="2:16" s="49" customFormat="1" ht="12.75" hidden="1">
      <c r="B153" s="24"/>
      <c r="C153" s="27"/>
      <c r="D153" s="27">
        <v>4280</v>
      </c>
      <c r="E153" s="28" t="s">
        <v>64</v>
      </c>
      <c r="F153" s="42">
        <v>3000</v>
      </c>
      <c r="G153" s="365"/>
      <c r="H153" s="82"/>
      <c r="I153" s="82"/>
      <c r="J153" s="82"/>
      <c r="K153" s="82"/>
      <c r="L153" s="82"/>
      <c r="M153" s="82"/>
      <c r="N153" s="82"/>
      <c r="O153" s="128">
        <f t="shared" si="40"/>
        <v>3000</v>
      </c>
      <c r="P153" s="197"/>
    </row>
    <row r="154" spans="2:16" s="49" customFormat="1" ht="12.75" hidden="1">
      <c r="B154" s="24"/>
      <c r="C154" s="27"/>
      <c r="D154" s="27">
        <v>4300</v>
      </c>
      <c r="E154" s="28" t="s">
        <v>41</v>
      </c>
      <c r="F154" s="42">
        <v>15000</v>
      </c>
      <c r="G154" s="365"/>
      <c r="H154" s="82"/>
      <c r="I154" s="82"/>
      <c r="J154" s="82"/>
      <c r="K154" s="82"/>
      <c r="L154" s="82"/>
      <c r="M154" s="82"/>
      <c r="N154" s="82"/>
      <c r="O154" s="128">
        <f t="shared" si="40"/>
        <v>15000</v>
      </c>
      <c r="P154" s="197"/>
    </row>
    <row r="155" spans="2:16" s="49" customFormat="1" ht="12.75" hidden="1">
      <c r="B155" s="24"/>
      <c r="C155" s="27"/>
      <c r="D155" s="27">
        <v>4350</v>
      </c>
      <c r="E155" s="28" t="s">
        <v>65</v>
      </c>
      <c r="F155" s="42">
        <v>800</v>
      </c>
      <c r="G155" s="365"/>
      <c r="H155" s="82"/>
      <c r="I155" s="82"/>
      <c r="J155" s="82"/>
      <c r="K155" s="82"/>
      <c r="L155" s="82"/>
      <c r="M155" s="82"/>
      <c r="N155" s="82"/>
      <c r="O155" s="128">
        <f t="shared" si="40"/>
        <v>800</v>
      </c>
      <c r="P155" s="197"/>
    </row>
    <row r="156" spans="2:16" s="49" customFormat="1" ht="27.75" customHeight="1" hidden="1">
      <c r="B156" s="24"/>
      <c r="C156" s="27"/>
      <c r="D156" s="27">
        <v>4360</v>
      </c>
      <c r="E156" s="28" t="s">
        <v>66</v>
      </c>
      <c r="F156" s="42">
        <v>600</v>
      </c>
      <c r="G156" s="365"/>
      <c r="H156" s="82"/>
      <c r="I156" s="82"/>
      <c r="J156" s="82"/>
      <c r="K156" s="82"/>
      <c r="L156" s="82"/>
      <c r="M156" s="82"/>
      <c r="N156" s="82"/>
      <c r="O156" s="128">
        <f t="shared" si="40"/>
        <v>600</v>
      </c>
      <c r="P156" s="197"/>
    </row>
    <row r="157" spans="2:16" s="49" customFormat="1" ht="29.25" customHeight="1" hidden="1">
      <c r="B157" s="24"/>
      <c r="C157" s="27"/>
      <c r="D157" s="27">
        <v>4370</v>
      </c>
      <c r="E157" s="28" t="s">
        <v>67</v>
      </c>
      <c r="F157" s="42">
        <v>2500</v>
      </c>
      <c r="G157" s="365"/>
      <c r="H157" s="82"/>
      <c r="I157" s="82"/>
      <c r="J157" s="82"/>
      <c r="K157" s="82"/>
      <c r="L157" s="82"/>
      <c r="M157" s="82"/>
      <c r="N157" s="82"/>
      <c r="O157" s="128">
        <f t="shared" si="40"/>
        <v>2500</v>
      </c>
      <c r="P157" s="197"/>
    </row>
    <row r="158" spans="2:16" s="49" customFormat="1" ht="12.75" hidden="1">
      <c r="B158" s="24"/>
      <c r="C158" s="27"/>
      <c r="D158" s="27">
        <v>4410</v>
      </c>
      <c r="E158" s="28" t="s">
        <v>60</v>
      </c>
      <c r="F158" s="42">
        <v>1000</v>
      </c>
      <c r="G158" s="365"/>
      <c r="H158" s="82"/>
      <c r="I158" s="82"/>
      <c r="J158" s="82"/>
      <c r="K158" s="82"/>
      <c r="L158" s="82"/>
      <c r="M158" s="82"/>
      <c r="N158" s="82"/>
      <c r="O158" s="128">
        <f t="shared" si="40"/>
        <v>1000</v>
      </c>
      <c r="P158" s="197"/>
    </row>
    <row r="159" spans="2:16" s="49" customFormat="1" ht="12.75" hidden="1">
      <c r="B159" s="24"/>
      <c r="C159" s="27"/>
      <c r="D159" s="27">
        <v>4430</v>
      </c>
      <c r="E159" s="28" t="s">
        <v>148</v>
      </c>
      <c r="F159" s="42">
        <v>1000</v>
      </c>
      <c r="G159" s="365"/>
      <c r="H159" s="82"/>
      <c r="I159" s="82"/>
      <c r="J159" s="82"/>
      <c r="K159" s="82"/>
      <c r="L159" s="82"/>
      <c r="M159" s="82"/>
      <c r="N159" s="82"/>
      <c r="O159" s="128">
        <f t="shared" si="40"/>
        <v>1000</v>
      </c>
      <c r="P159" s="197"/>
    </row>
    <row r="160" spans="2:16" s="49" customFormat="1" ht="28.5" customHeight="1" hidden="1">
      <c r="B160" s="24"/>
      <c r="C160" s="27"/>
      <c r="D160" s="27">
        <v>4440</v>
      </c>
      <c r="E160" s="28" t="s">
        <v>68</v>
      </c>
      <c r="F160" s="42">
        <v>35800</v>
      </c>
      <c r="G160" s="365"/>
      <c r="H160" s="82"/>
      <c r="I160" s="82"/>
      <c r="J160" s="82"/>
      <c r="K160" s="82"/>
      <c r="L160" s="82"/>
      <c r="M160" s="82"/>
      <c r="N160" s="82"/>
      <c r="O160" s="128">
        <f t="shared" si="40"/>
        <v>35800</v>
      </c>
      <c r="P160" s="197"/>
    </row>
    <row r="161" spans="2:16" s="49" customFormat="1" ht="38.25" hidden="1">
      <c r="B161" s="24"/>
      <c r="C161" s="27"/>
      <c r="D161" s="27">
        <v>4740</v>
      </c>
      <c r="E161" s="28" t="s">
        <v>69</v>
      </c>
      <c r="F161" s="42">
        <v>5000</v>
      </c>
      <c r="G161" s="365"/>
      <c r="H161" s="82"/>
      <c r="I161" s="82"/>
      <c r="J161" s="82"/>
      <c r="K161" s="82"/>
      <c r="L161" s="82"/>
      <c r="M161" s="82"/>
      <c r="N161" s="82"/>
      <c r="O161" s="128">
        <f t="shared" si="40"/>
        <v>5000</v>
      </c>
      <c r="P161" s="197"/>
    </row>
    <row r="162" spans="2:16" s="49" customFormat="1" ht="28.5" customHeight="1" hidden="1">
      <c r="B162" s="24"/>
      <c r="C162" s="27"/>
      <c r="D162" s="27">
        <v>6050</v>
      </c>
      <c r="E162" s="28" t="s">
        <v>44</v>
      </c>
      <c r="F162" s="42"/>
      <c r="G162" s="365"/>
      <c r="H162" s="82"/>
      <c r="I162" s="82"/>
      <c r="J162" s="82"/>
      <c r="K162" s="82"/>
      <c r="L162" s="82"/>
      <c r="M162" s="82"/>
      <c r="N162" s="82"/>
      <c r="O162" s="128">
        <f t="shared" si="40"/>
        <v>0</v>
      </c>
      <c r="P162" s="197"/>
    </row>
    <row r="163" spans="2:16" s="49" customFormat="1" ht="39" customHeight="1" hidden="1">
      <c r="B163" s="24"/>
      <c r="C163" s="27"/>
      <c r="D163" s="27">
        <v>6060</v>
      </c>
      <c r="E163" s="28" t="s">
        <v>55</v>
      </c>
      <c r="F163" s="42">
        <v>8488</v>
      </c>
      <c r="G163" s="365"/>
      <c r="H163" s="82"/>
      <c r="I163" s="82"/>
      <c r="J163" s="82"/>
      <c r="K163" s="82"/>
      <c r="L163" s="82"/>
      <c r="M163" s="82"/>
      <c r="N163" s="82"/>
      <c r="O163" s="128">
        <f t="shared" si="40"/>
        <v>8488</v>
      </c>
      <c r="P163" s="197"/>
    </row>
    <row r="164" spans="2:16" s="49" customFormat="1" ht="12.75" hidden="1">
      <c r="B164" s="24"/>
      <c r="C164" s="14">
        <v>80110</v>
      </c>
      <c r="D164" s="14"/>
      <c r="E164" s="17" t="s">
        <v>33</v>
      </c>
      <c r="F164" s="57">
        <f>SUM(F165:F186)</f>
        <v>1739000</v>
      </c>
      <c r="G164" s="222">
        <f>SUM(G165:G186)</f>
        <v>0</v>
      </c>
      <c r="H164" s="58">
        <f aca="true" t="shared" si="41" ref="H164:N164">SUM(H165:H186)</f>
        <v>0</v>
      </c>
      <c r="I164" s="58">
        <f t="shared" si="41"/>
        <v>0</v>
      </c>
      <c r="J164" s="58">
        <f t="shared" si="41"/>
        <v>0</v>
      </c>
      <c r="K164" s="58">
        <f t="shared" si="41"/>
        <v>0</v>
      </c>
      <c r="L164" s="58">
        <f t="shared" si="41"/>
        <v>0</v>
      </c>
      <c r="M164" s="58">
        <f t="shared" si="41"/>
        <v>0</v>
      </c>
      <c r="N164" s="58">
        <f t="shared" si="41"/>
        <v>0</v>
      </c>
      <c r="O164" s="160">
        <f>SUM(O165:O186)</f>
        <v>1739000</v>
      </c>
      <c r="P164" s="215"/>
    </row>
    <row r="165" spans="2:16" s="49" customFormat="1" ht="25.5" hidden="1">
      <c r="B165" s="24"/>
      <c r="C165" s="14"/>
      <c r="D165" s="27">
        <v>3020</v>
      </c>
      <c r="E165" s="28" t="s">
        <v>61</v>
      </c>
      <c r="F165" s="42">
        <v>74200</v>
      </c>
      <c r="G165" s="365"/>
      <c r="H165" s="82"/>
      <c r="I165" s="82"/>
      <c r="J165" s="82"/>
      <c r="K165" s="82"/>
      <c r="L165" s="82"/>
      <c r="M165" s="82"/>
      <c r="N165" s="82"/>
      <c r="O165" s="128">
        <f aca="true" t="shared" si="42" ref="O165:O186">F165+G165+H165+I165+J165+K165+L165+M165+N165</f>
        <v>74200</v>
      </c>
      <c r="P165" s="197"/>
    </row>
    <row r="166" spans="2:16" s="49" customFormat="1" ht="12.75" hidden="1">
      <c r="B166" s="24"/>
      <c r="C166" s="14"/>
      <c r="D166" s="27">
        <v>4010</v>
      </c>
      <c r="E166" s="28" t="s">
        <v>57</v>
      </c>
      <c r="F166" s="42">
        <v>1085000</v>
      </c>
      <c r="G166" s="365"/>
      <c r="H166" s="82"/>
      <c r="I166" s="82"/>
      <c r="J166" s="82"/>
      <c r="K166" s="82"/>
      <c r="L166" s="82"/>
      <c r="M166" s="82"/>
      <c r="N166" s="82"/>
      <c r="O166" s="128">
        <f t="shared" si="42"/>
        <v>1085000</v>
      </c>
      <c r="P166" s="197"/>
    </row>
    <row r="167" spans="2:16" s="49" customFormat="1" ht="12.75" hidden="1">
      <c r="B167" s="24"/>
      <c r="C167" s="14"/>
      <c r="D167" s="27">
        <v>4040</v>
      </c>
      <c r="E167" s="28" t="s">
        <v>62</v>
      </c>
      <c r="F167" s="42">
        <v>91000</v>
      </c>
      <c r="G167" s="365"/>
      <c r="H167" s="82"/>
      <c r="I167" s="82"/>
      <c r="J167" s="82"/>
      <c r="K167" s="82"/>
      <c r="L167" s="82"/>
      <c r="M167" s="82"/>
      <c r="N167" s="82"/>
      <c r="O167" s="128">
        <f t="shared" si="42"/>
        <v>91000</v>
      </c>
      <c r="P167" s="197"/>
    </row>
    <row r="168" spans="2:16" s="49" customFormat="1" ht="12.75" hidden="1">
      <c r="B168" s="24"/>
      <c r="C168" s="57"/>
      <c r="D168" s="27">
        <v>4110</v>
      </c>
      <c r="E168" s="28" t="s">
        <v>58</v>
      </c>
      <c r="F168" s="42">
        <v>182000</v>
      </c>
      <c r="G168" s="365"/>
      <c r="H168" s="82"/>
      <c r="I168" s="82"/>
      <c r="J168" s="82"/>
      <c r="K168" s="82"/>
      <c r="L168" s="82"/>
      <c r="M168" s="82"/>
      <c r="N168" s="82"/>
      <c r="O168" s="128">
        <f t="shared" si="42"/>
        <v>182000</v>
      </c>
      <c r="P168" s="197"/>
    </row>
    <row r="169" spans="2:16" s="49" customFormat="1" ht="12.75" hidden="1">
      <c r="B169" s="24"/>
      <c r="C169" s="14"/>
      <c r="D169" s="27">
        <v>4120</v>
      </c>
      <c r="E169" s="28" t="s">
        <v>144</v>
      </c>
      <c r="F169" s="42">
        <v>30600</v>
      </c>
      <c r="G169" s="365"/>
      <c r="H169" s="82"/>
      <c r="I169" s="82"/>
      <c r="J169" s="82"/>
      <c r="K169" s="82"/>
      <c r="L169" s="82"/>
      <c r="M169" s="82"/>
      <c r="N169" s="82"/>
      <c r="O169" s="128">
        <f t="shared" si="42"/>
        <v>30600</v>
      </c>
      <c r="P169" s="197"/>
    </row>
    <row r="170" spans="2:16" s="49" customFormat="1" ht="12.75" hidden="1">
      <c r="B170" s="24"/>
      <c r="C170" s="14"/>
      <c r="D170" s="27">
        <v>4210</v>
      </c>
      <c r="E170" s="28" t="s">
        <v>39</v>
      </c>
      <c r="F170" s="42">
        <v>25000</v>
      </c>
      <c r="G170" s="365"/>
      <c r="H170" s="82"/>
      <c r="I170" s="82"/>
      <c r="J170" s="82"/>
      <c r="K170" s="82"/>
      <c r="L170" s="82"/>
      <c r="M170" s="82"/>
      <c r="N170" s="82"/>
      <c r="O170" s="128">
        <f t="shared" si="42"/>
        <v>25000</v>
      </c>
      <c r="P170" s="197"/>
    </row>
    <row r="171" spans="2:16" s="49" customFormat="1" ht="12.75" hidden="1">
      <c r="B171" s="24"/>
      <c r="C171" s="14"/>
      <c r="D171" s="27">
        <v>4240</v>
      </c>
      <c r="E171" s="28" t="s">
        <v>147</v>
      </c>
      <c r="F171" s="42">
        <v>1000</v>
      </c>
      <c r="G171" s="365"/>
      <c r="H171" s="82"/>
      <c r="I171" s="82"/>
      <c r="J171" s="82"/>
      <c r="K171" s="82"/>
      <c r="L171" s="82"/>
      <c r="M171" s="82"/>
      <c r="N171" s="82"/>
      <c r="O171" s="128">
        <f t="shared" si="42"/>
        <v>1000</v>
      </c>
      <c r="P171" s="197"/>
    </row>
    <row r="172" spans="2:16" s="49" customFormat="1" ht="12.75" hidden="1">
      <c r="B172" s="24"/>
      <c r="C172" s="14"/>
      <c r="D172" s="27">
        <v>4260</v>
      </c>
      <c r="E172" s="28" t="s">
        <v>59</v>
      </c>
      <c r="F172" s="42">
        <v>128500</v>
      </c>
      <c r="G172" s="365"/>
      <c r="H172" s="82"/>
      <c r="I172" s="82"/>
      <c r="J172" s="82"/>
      <c r="K172" s="82"/>
      <c r="L172" s="82"/>
      <c r="M172" s="82"/>
      <c r="N172" s="82"/>
      <c r="O172" s="128">
        <f t="shared" si="42"/>
        <v>128500</v>
      </c>
      <c r="P172" s="197"/>
    </row>
    <row r="173" spans="2:16" s="49" customFormat="1" ht="12.75" hidden="1">
      <c r="B173" s="24"/>
      <c r="C173" s="14"/>
      <c r="D173" s="27">
        <v>4270</v>
      </c>
      <c r="E173" s="28" t="s">
        <v>40</v>
      </c>
      <c r="F173" s="42">
        <v>6000</v>
      </c>
      <c r="G173" s="365"/>
      <c r="H173" s="82"/>
      <c r="I173" s="82"/>
      <c r="J173" s="82"/>
      <c r="K173" s="82"/>
      <c r="L173" s="82"/>
      <c r="M173" s="82"/>
      <c r="N173" s="82"/>
      <c r="O173" s="128">
        <f t="shared" si="42"/>
        <v>6000</v>
      </c>
      <c r="P173" s="197"/>
    </row>
    <row r="174" spans="2:16" s="49" customFormat="1" ht="12.75" hidden="1">
      <c r="B174" s="24"/>
      <c r="C174" s="14"/>
      <c r="D174" s="27">
        <v>4280</v>
      </c>
      <c r="E174" s="28" t="s">
        <v>64</v>
      </c>
      <c r="F174" s="42">
        <v>3500</v>
      </c>
      <c r="G174" s="365"/>
      <c r="H174" s="82"/>
      <c r="I174" s="82"/>
      <c r="J174" s="82"/>
      <c r="K174" s="82"/>
      <c r="L174" s="82"/>
      <c r="M174" s="82"/>
      <c r="N174" s="82"/>
      <c r="O174" s="128">
        <f t="shared" si="42"/>
        <v>3500</v>
      </c>
      <c r="P174" s="197"/>
    </row>
    <row r="175" spans="2:16" s="49" customFormat="1" ht="12.75" hidden="1">
      <c r="B175" s="24"/>
      <c r="C175" s="14"/>
      <c r="D175" s="27">
        <v>4300</v>
      </c>
      <c r="E175" s="28" t="s">
        <v>41</v>
      </c>
      <c r="F175" s="42">
        <v>24000</v>
      </c>
      <c r="G175" s="365"/>
      <c r="H175" s="82"/>
      <c r="I175" s="82"/>
      <c r="J175" s="82"/>
      <c r="K175" s="82"/>
      <c r="L175" s="82"/>
      <c r="M175" s="82"/>
      <c r="N175" s="82"/>
      <c r="O175" s="128">
        <f t="shared" si="42"/>
        <v>24000</v>
      </c>
      <c r="P175" s="197"/>
    </row>
    <row r="176" spans="2:16" s="49" customFormat="1" ht="12.75" hidden="1">
      <c r="B176" s="24"/>
      <c r="C176" s="14"/>
      <c r="D176" s="27">
        <v>4350</v>
      </c>
      <c r="E176" s="28" t="s">
        <v>65</v>
      </c>
      <c r="F176" s="42">
        <v>4000</v>
      </c>
      <c r="G176" s="365"/>
      <c r="H176" s="82"/>
      <c r="I176" s="82"/>
      <c r="J176" s="82"/>
      <c r="K176" s="82"/>
      <c r="L176" s="82"/>
      <c r="M176" s="82"/>
      <c r="N176" s="82"/>
      <c r="O176" s="128">
        <f t="shared" si="42"/>
        <v>4000</v>
      </c>
      <c r="P176" s="197"/>
    </row>
    <row r="177" spans="2:16" s="49" customFormat="1" ht="30" customHeight="1" hidden="1">
      <c r="B177" s="24"/>
      <c r="C177" s="14"/>
      <c r="D177" s="27">
        <v>4360</v>
      </c>
      <c r="E177" s="28" t="s">
        <v>66</v>
      </c>
      <c r="F177" s="42">
        <v>2000</v>
      </c>
      <c r="G177" s="365"/>
      <c r="H177" s="82"/>
      <c r="I177" s="82"/>
      <c r="J177" s="82"/>
      <c r="K177" s="82"/>
      <c r="L177" s="82"/>
      <c r="M177" s="82"/>
      <c r="N177" s="82"/>
      <c r="O177" s="128">
        <f t="shared" si="42"/>
        <v>2000</v>
      </c>
      <c r="P177" s="197"/>
    </row>
    <row r="178" spans="2:16" s="49" customFormat="1" ht="26.25" customHeight="1" hidden="1">
      <c r="B178" s="24"/>
      <c r="C178" s="14"/>
      <c r="D178" s="27">
        <v>4370</v>
      </c>
      <c r="E178" s="28" t="s">
        <v>67</v>
      </c>
      <c r="F178" s="42">
        <v>4000</v>
      </c>
      <c r="G178" s="365"/>
      <c r="H178" s="82"/>
      <c r="I178" s="82"/>
      <c r="J178" s="82"/>
      <c r="K178" s="82"/>
      <c r="L178" s="82"/>
      <c r="M178" s="82"/>
      <c r="N178" s="82"/>
      <c r="O178" s="128">
        <f t="shared" si="42"/>
        <v>4000</v>
      </c>
      <c r="P178" s="197"/>
    </row>
    <row r="179" spans="2:16" s="49" customFormat="1" ht="12.75" hidden="1">
      <c r="B179" s="24"/>
      <c r="C179" s="14"/>
      <c r="D179" s="27">
        <v>4410</v>
      </c>
      <c r="E179" s="28" t="s">
        <v>60</v>
      </c>
      <c r="F179" s="42">
        <v>4000</v>
      </c>
      <c r="G179" s="365"/>
      <c r="H179" s="82"/>
      <c r="I179" s="82"/>
      <c r="J179" s="82"/>
      <c r="K179" s="82"/>
      <c r="L179" s="82"/>
      <c r="M179" s="82"/>
      <c r="N179" s="82"/>
      <c r="O179" s="128">
        <f t="shared" si="42"/>
        <v>4000</v>
      </c>
      <c r="P179" s="197"/>
    </row>
    <row r="180" spans="2:16" s="49" customFormat="1" ht="12.75" hidden="1">
      <c r="B180" s="24"/>
      <c r="C180" s="14"/>
      <c r="D180" s="27">
        <v>4420</v>
      </c>
      <c r="E180" s="28" t="s">
        <v>201</v>
      </c>
      <c r="F180" s="42">
        <v>500</v>
      </c>
      <c r="G180" s="365"/>
      <c r="H180" s="82"/>
      <c r="I180" s="82"/>
      <c r="J180" s="82"/>
      <c r="K180" s="82"/>
      <c r="L180" s="82"/>
      <c r="M180" s="82"/>
      <c r="N180" s="82"/>
      <c r="O180" s="128">
        <f t="shared" si="42"/>
        <v>500</v>
      </c>
      <c r="P180" s="197"/>
    </row>
    <row r="181" spans="2:16" s="49" customFormat="1" ht="12.75" hidden="1">
      <c r="B181" s="24"/>
      <c r="C181" s="14"/>
      <c r="D181" s="27">
        <v>4430</v>
      </c>
      <c r="E181" s="28" t="s">
        <v>148</v>
      </c>
      <c r="F181" s="42">
        <v>7000</v>
      </c>
      <c r="G181" s="365"/>
      <c r="H181" s="82"/>
      <c r="I181" s="82"/>
      <c r="J181" s="82"/>
      <c r="K181" s="82"/>
      <c r="L181" s="82"/>
      <c r="M181" s="82"/>
      <c r="N181" s="82"/>
      <c r="O181" s="128">
        <f t="shared" si="42"/>
        <v>7000</v>
      </c>
      <c r="P181" s="197"/>
    </row>
    <row r="182" spans="2:16" s="49" customFormat="1" ht="27" customHeight="1" hidden="1">
      <c r="B182" s="24"/>
      <c r="C182" s="14"/>
      <c r="D182" s="27">
        <v>4440</v>
      </c>
      <c r="E182" s="28" t="s">
        <v>68</v>
      </c>
      <c r="F182" s="42">
        <v>59700</v>
      </c>
      <c r="G182" s="365"/>
      <c r="H182" s="82"/>
      <c r="I182" s="82"/>
      <c r="J182" s="82"/>
      <c r="K182" s="82"/>
      <c r="L182" s="82"/>
      <c r="M182" s="82"/>
      <c r="N182" s="82"/>
      <c r="O182" s="128">
        <f t="shared" si="42"/>
        <v>59700</v>
      </c>
      <c r="P182" s="197"/>
    </row>
    <row r="183" spans="2:16" s="49" customFormat="1" ht="38.25" hidden="1">
      <c r="B183" s="24"/>
      <c r="C183" s="14"/>
      <c r="D183" s="27">
        <v>4740</v>
      </c>
      <c r="E183" s="28" t="s">
        <v>69</v>
      </c>
      <c r="F183" s="42">
        <v>3000</v>
      </c>
      <c r="G183" s="365"/>
      <c r="H183" s="82"/>
      <c r="I183" s="82"/>
      <c r="J183" s="82"/>
      <c r="K183" s="82"/>
      <c r="L183" s="82"/>
      <c r="M183" s="82"/>
      <c r="N183" s="82"/>
      <c r="O183" s="128">
        <f t="shared" si="42"/>
        <v>3000</v>
      </c>
      <c r="P183" s="197"/>
    </row>
    <row r="184" spans="2:16" s="49" customFormat="1" ht="28.5" customHeight="1" hidden="1">
      <c r="B184" s="24"/>
      <c r="C184" s="14"/>
      <c r="D184" s="27">
        <v>4750</v>
      </c>
      <c r="E184" s="28" t="s">
        <v>70</v>
      </c>
      <c r="F184" s="42">
        <v>4000</v>
      </c>
      <c r="G184" s="365"/>
      <c r="H184" s="82"/>
      <c r="I184" s="82"/>
      <c r="J184" s="82"/>
      <c r="K184" s="82"/>
      <c r="L184" s="82"/>
      <c r="M184" s="82"/>
      <c r="N184" s="82"/>
      <c r="O184" s="128">
        <f t="shared" si="42"/>
        <v>4000</v>
      </c>
      <c r="P184" s="197"/>
    </row>
    <row r="185" spans="2:16" s="49" customFormat="1" ht="28.5" customHeight="1" hidden="1">
      <c r="B185" s="24"/>
      <c r="C185" s="14"/>
      <c r="D185" s="27">
        <v>6050</v>
      </c>
      <c r="E185" s="28" t="s">
        <v>44</v>
      </c>
      <c r="F185" s="42"/>
      <c r="G185" s="365"/>
      <c r="H185" s="82"/>
      <c r="I185" s="82"/>
      <c r="J185" s="82"/>
      <c r="K185" s="82"/>
      <c r="L185" s="82"/>
      <c r="M185" s="82"/>
      <c r="N185" s="82"/>
      <c r="O185" s="128">
        <f t="shared" si="42"/>
        <v>0</v>
      </c>
      <c r="P185" s="244"/>
    </row>
    <row r="186" spans="2:16" s="49" customFormat="1" ht="28.5" customHeight="1" hidden="1">
      <c r="B186" s="24"/>
      <c r="C186" s="14"/>
      <c r="D186" s="27">
        <v>6060</v>
      </c>
      <c r="E186" s="28" t="s">
        <v>55</v>
      </c>
      <c r="F186" s="42"/>
      <c r="G186" s="365"/>
      <c r="H186" s="82"/>
      <c r="I186" s="82"/>
      <c r="J186" s="82"/>
      <c r="K186" s="82"/>
      <c r="L186" s="82"/>
      <c r="M186" s="82"/>
      <c r="N186" s="82"/>
      <c r="O186" s="128">
        <f t="shared" si="42"/>
        <v>0</v>
      </c>
      <c r="P186" s="197"/>
    </row>
    <row r="187" spans="2:16" s="49" customFormat="1" ht="12.75" hidden="1">
      <c r="B187" s="24"/>
      <c r="C187" s="14">
        <v>80113</v>
      </c>
      <c r="D187" s="14"/>
      <c r="E187" s="17" t="s">
        <v>152</v>
      </c>
      <c r="F187" s="57">
        <f>SUM(F188:F195)</f>
        <v>381300</v>
      </c>
      <c r="G187" s="222">
        <f>SUM(G188:G195)</f>
        <v>0</v>
      </c>
      <c r="H187" s="58">
        <f aca="true" t="shared" si="43" ref="H187:N187">SUM(H188:H195)</f>
        <v>0</v>
      </c>
      <c r="I187" s="58">
        <f t="shared" si="43"/>
        <v>0</v>
      </c>
      <c r="J187" s="58">
        <f t="shared" si="43"/>
        <v>0</v>
      </c>
      <c r="K187" s="58">
        <f t="shared" si="43"/>
        <v>0</v>
      </c>
      <c r="L187" s="58">
        <f t="shared" si="43"/>
        <v>0</v>
      </c>
      <c r="M187" s="58">
        <f t="shared" si="43"/>
        <v>0</v>
      </c>
      <c r="N187" s="58">
        <f t="shared" si="43"/>
        <v>0</v>
      </c>
      <c r="O187" s="160">
        <f>SUM(O188:O195)</f>
        <v>381300</v>
      </c>
      <c r="P187" s="215"/>
    </row>
    <row r="188" spans="2:16" s="49" customFormat="1" ht="28.5" customHeight="1" hidden="1">
      <c r="B188" s="24"/>
      <c r="C188" s="14"/>
      <c r="D188" s="27">
        <v>3020</v>
      </c>
      <c r="E188" s="28" t="s">
        <v>61</v>
      </c>
      <c r="F188" s="42">
        <v>300</v>
      </c>
      <c r="G188" s="365"/>
      <c r="H188" s="82"/>
      <c r="I188" s="82"/>
      <c r="J188" s="82"/>
      <c r="K188" s="82"/>
      <c r="L188" s="82"/>
      <c r="M188" s="82"/>
      <c r="N188" s="82"/>
      <c r="O188" s="128">
        <f aca="true" t="shared" si="44" ref="O188:O195">F188+G188+H188+I188+J188+K188+L188+M188+N188</f>
        <v>300</v>
      </c>
      <c r="P188" s="197"/>
    </row>
    <row r="189" spans="2:16" s="49" customFormat="1" ht="12.75" hidden="1">
      <c r="B189" s="24"/>
      <c r="C189" s="14"/>
      <c r="D189" s="27">
        <v>4010</v>
      </c>
      <c r="E189" s="28" t="s">
        <v>57</v>
      </c>
      <c r="F189" s="42">
        <v>30000</v>
      </c>
      <c r="G189" s="365"/>
      <c r="H189" s="82"/>
      <c r="I189" s="82"/>
      <c r="J189" s="82"/>
      <c r="K189" s="82"/>
      <c r="L189" s="82"/>
      <c r="M189" s="82"/>
      <c r="N189" s="82"/>
      <c r="O189" s="128">
        <f t="shared" si="44"/>
        <v>30000</v>
      </c>
      <c r="P189" s="197"/>
    </row>
    <row r="190" spans="2:16" s="49" customFormat="1" ht="12.75" hidden="1">
      <c r="B190" s="24"/>
      <c r="C190" s="14"/>
      <c r="D190" s="27">
        <v>4040</v>
      </c>
      <c r="E190" s="28" t="s">
        <v>62</v>
      </c>
      <c r="F190" s="42">
        <v>3350</v>
      </c>
      <c r="G190" s="365"/>
      <c r="H190" s="82"/>
      <c r="I190" s="82"/>
      <c r="J190" s="82"/>
      <c r="K190" s="82"/>
      <c r="L190" s="82"/>
      <c r="M190" s="82"/>
      <c r="N190" s="82"/>
      <c r="O190" s="128">
        <f t="shared" si="44"/>
        <v>3350</v>
      </c>
      <c r="P190" s="197"/>
    </row>
    <row r="191" spans="2:16" s="49" customFormat="1" ht="12.75" hidden="1">
      <c r="B191" s="24"/>
      <c r="C191" s="14"/>
      <c r="D191" s="27">
        <v>4110</v>
      </c>
      <c r="E191" s="28" t="s">
        <v>58</v>
      </c>
      <c r="F191" s="42">
        <v>4650</v>
      </c>
      <c r="G191" s="365"/>
      <c r="H191" s="82"/>
      <c r="I191" s="82"/>
      <c r="J191" s="82"/>
      <c r="K191" s="82"/>
      <c r="L191" s="82"/>
      <c r="M191" s="82"/>
      <c r="N191" s="82"/>
      <c r="O191" s="128">
        <f t="shared" si="44"/>
        <v>4650</v>
      </c>
      <c r="P191" s="197"/>
    </row>
    <row r="192" spans="2:16" s="49" customFormat="1" ht="12.75" hidden="1">
      <c r="B192" s="24"/>
      <c r="C192" s="14"/>
      <c r="D192" s="27">
        <v>4120</v>
      </c>
      <c r="E192" s="28" t="s">
        <v>144</v>
      </c>
      <c r="F192" s="42">
        <v>800</v>
      </c>
      <c r="G192" s="365"/>
      <c r="H192" s="82"/>
      <c r="I192" s="82"/>
      <c r="J192" s="82"/>
      <c r="K192" s="82"/>
      <c r="L192" s="82"/>
      <c r="M192" s="82"/>
      <c r="N192" s="82"/>
      <c r="O192" s="128">
        <f t="shared" si="44"/>
        <v>800</v>
      </c>
      <c r="P192" s="197"/>
    </row>
    <row r="193" spans="2:16" s="49" customFormat="1" ht="12.75" hidden="1">
      <c r="B193" s="24"/>
      <c r="C193" s="14"/>
      <c r="D193" s="27">
        <v>4280</v>
      </c>
      <c r="E193" s="28" t="s">
        <v>64</v>
      </c>
      <c r="F193" s="42">
        <v>400</v>
      </c>
      <c r="G193" s="365"/>
      <c r="H193" s="82"/>
      <c r="I193" s="82"/>
      <c r="J193" s="82"/>
      <c r="K193" s="82"/>
      <c r="L193" s="82"/>
      <c r="M193" s="82"/>
      <c r="N193" s="82"/>
      <c r="O193" s="128">
        <f t="shared" si="44"/>
        <v>400</v>
      </c>
      <c r="P193" s="197"/>
    </row>
    <row r="194" spans="2:16" s="49" customFormat="1" ht="12.75" hidden="1">
      <c r="B194" s="24"/>
      <c r="C194" s="27"/>
      <c r="D194" s="27">
        <v>4300</v>
      </c>
      <c r="E194" s="28" t="s">
        <v>41</v>
      </c>
      <c r="F194" s="42">
        <v>340000</v>
      </c>
      <c r="G194" s="365"/>
      <c r="H194" s="82"/>
      <c r="I194" s="82"/>
      <c r="J194" s="82"/>
      <c r="K194" s="82"/>
      <c r="L194" s="82"/>
      <c r="M194" s="82"/>
      <c r="N194" s="82"/>
      <c r="O194" s="128">
        <f t="shared" si="44"/>
        <v>340000</v>
      </c>
      <c r="P194" s="197"/>
    </row>
    <row r="195" spans="2:16" s="49" customFormat="1" ht="28.5" customHeight="1" hidden="1">
      <c r="B195" s="24"/>
      <c r="C195" s="27"/>
      <c r="D195" s="27">
        <v>4440</v>
      </c>
      <c r="E195" s="28" t="s">
        <v>68</v>
      </c>
      <c r="F195" s="42">
        <v>1800</v>
      </c>
      <c r="G195" s="365"/>
      <c r="H195" s="82"/>
      <c r="I195" s="82"/>
      <c r="J195" s="82"/>
      <c r="K195" s="82"/>
      <c r="L195" s="82"/>
      <c r="M195" s="82"/>
      <c r="N195" s="82"/>
      <c r="O195" s="128">
        <f t="shared" si="44"/>
        <v>1800</v>
      </c>
      <c r="P195" s="197"/>
    </row>
    <row r="196" spans="2:16" s="49" customFormat="1" ht="28.5" customHeight="1" hidden="1">
      <c r="B196" s="24"/>
      <c r="C196" s="14">
        <v>80114</v>
      </c>
      <c r="D196" s="14"/>
      <c r="E196" s="17" t="s">
        <v>76</v>
      </c>
      <c r="F196" s="57">
        <f>SUM(F197:F211)</f>
        <v>272700</v>
      </c>
      <c r="G196" s="222">
        <f>SUM(G197:G211)</f>
        <v>0</v>
      </c>
      <c r="H196" s="58">
        <f aca="true" t="shared" si="45" ref="H196:N196">SUM(H197:H211)</f>
        <v>0</v>
      </c>
      <c r="I196" s="58">
        <f t="shared" si="45"/>
        <v>0</v>
      </c>
      <c r="J196" s="58">
        <f t="shared" si="45"/>
        <v>0</v>
      </c>
      <c r="K196" s="58">
        <f t="shared" si="45"/>
        <v>0</v>
      </c>
      <c r="L196" s="58">
        <f t="shared" si="45"/>
        <v>0</v>
      </c>
      <c r="M196" s="58">
        <f t="shared" si="45"/>
        <v>0</v>
      </c>
      <c r="N196" s="58">
        <f t="shared" si="45"/>
        <v>0</v>
      </c>
      <c r="O196" s="160">
        <f>SUM(O197:O211)</f>
        <v>272700</v>
      </c>
      <c r="P196" s="215"/>
    </row>
    <row r="197" spans="2:16" s="49" customFormat="1" ht="28.5" customHeight="1" hidden="1">
      <c r="B197" s="24"/>
      <c r="C197" s="27"/>
      <c r="D197" s="27">
        <v>3020</v>
      </c>
      <c r="E197" s="28" t="s">
        <v>61</v>
      </c>
      <c r="F197" s="42">
        <v>400</v>
      </c>
      <c r="G197" s="365"/>
      <c r="H197" s="82"/>
      <c r="I197" s="82"/>
      <c r="J197" s="82"/>
      <c r="K197" s="82"/>
      <c r="L197" s="82"/>
      <c r="M197" s="82"/>
      <c r="N197" s="82"/>
      <c r="O197" s="128">
        <f aca="true" t="shared" si="46" ref="O197:O211">F197+G197+H197+I197+J197+K197+L197+M197+N197</f>
        <v>400</v>
      </c>
      <c r="P197" s="197"/>
    </row>
    <row r="198" spans="2:16" s="49" customFormat="1" ht="12.75" hidden="1">
      <c r="B198" s="24"/>
      <c r="C198" s="27"/>
      <c r="D198" s="27">
        <v>4010</v>
      </c>
      <c r="E198" s="28" t="s">
        <v>57</v>
      </c>
      <c r="F198" s="42">
        <v>191750</v>
      </c>
      <c r="G198" s="365"/>
      <c r="H198" s="82"/>
      <c r="I198" s="82"/>
      <c r="J198" s="82"/>
      <c r="K198" s="82"/>
      <c r="L198" s="82"/>
      <c r="M198" s="82"/>
      <c r="N198" s="82"/>
      <c r="O198" s="128">
        <f t="shared" si="46"/>
        <v>191750</v>
      </c>
      <c r="P198" s="197"/>
    </row>
    <row r="199" spans="2:16" s="49" customFormat="1" ht="12.75" hidden="1">
      <c r="B199" s="24"/>
      <c r="C199" s="27"/>
      <c r="D199" s="27">
        <v>4040</v>
      </c>
      <c r="E199" s="28" t="s">
        <v>62</v>
      </c>
      <c r="F199" s="42">
        <v>11100</v>
      </c>
      <c r="G199" s="365"/>
      <c r="H199" s="82"/>
      <c r="I199" s="82"/>
      <c r="J199" s="82"/>
      <c r="K199" s="82"/>
      <c r="L199" s="82"/>
      <c r="M199" s="82"/>
      <c r="N199" s="82"/>
      <c r="O199" s="128">
        <f t="shared" si="46"/>
        <v>11100</v>
      </c>
      <c r="P199" s="197"/>
    </row>
    <row r="200" spans="2:16" s="49" customFormat="1" ht="12.75" hidden="1">
      <c r="B200" s="24"/>
      <c r="C200" s="27"/>
      <c r="D200" s="27">
        <v>4110</v>
      </c>
      <c r="E200" s="28" t="s">
        <v>58</v>
      </c>
      <c r="F200" s="42">
        <v>31150</v>
      </c>
      <c r="G200" s="365"/>
      <c r="H200" s="82"/>
      <c r="I200" s="82"/>
      <c r="J200" s="82"/>
      <c r="K200" s="82"/>
      <c r="L200" s="82"/>
      <c r="M200" s="82"/>
      <c r="N200" s="82"/>
      <c r="O200" s="128">
        <f t="shared" si="46"/>
        <v>31150</v>
      </c>
      <c r="P200" s="197"/>
    </row>
    <row r="201" spans="2:16" s="49" customFormat="1" ht="12.75" hidden="1">
      <c r="B201" s="24"/>
      <c r="C201" s="27"/>
      <c r="D201" s="27">
        <v>4120</v>
      </c>
      <c r="E201" s="28" t="s">
        <v>144</v>
      </c>
      <c r="F201" s="42">
        <v>5000</v>
      </c>
      <c r="G201" s="365"/>
      <c r="H201" s="82"/>
      <c r="I201" s="82"/>
      <c r="J201" s="82"/>
      <c r="K201" s="82"/>
      <c r="L201" s="82"/>
      <c r="M201" s="82"/>
      <c r="N201" s="82"/>
      <c r="O201" s="128">
        <f t="shared" si="46"/>
        <v>5000</v>
      </c>
      <c r="P201" s="197"/>
    </row>
    <row r="202" spans="2:16" s="49" customFormat="1" ht="12.75" hidden="1">
      <c r="B202" s="24"/>
      <c r="C202" s="27"/>
      <c r="D202" s="27">
        <v>4210</v>
      </c>
      <c r="E202" s="28" t="s">
        <v>39</v>
      </c>
      <c r="F202" s="42">
        <v>8000</v>
      </c>
      <c r="G202" s="365"/>
      <c r="H202" s="82"/>
      <c r="I202" s="82"/>
      <c r="J202" s="82"/>
      <c r="K202" s="82"/>
      <c r="L202" s="82"/>
      <c r="M202" s="82"/>
      <c r="N202" s="82"/>
      <c r="O202" s="128">
        <f t="shared" si="46"/>
        <v>8000</v>
      </c>
      <c r="P202" s="197"/>
    </row>
    <row r="203" spans="2:16" s="49" customFormat="1" ht="12.75" customHeight="1" hidden="1">
      <c r="B203" s="24"/>
      <c r="C203" s="27"/>
      <c r="D203" s="27">
        <v>4270</v>
      </c>
      <c r="E203" s="28" t="s">
        <v>40</v>
      </c>
      <c r="F203" s="42"/>
      <c r="G203" s="365"/>
      <c r="H203" s="82"/>
      <c r="I203" s="82"/>
      <c r="J203" s="82"/>
      <c r="K203" s="82"/>
      <c r="L203" s="82"/>
      <c r="M203" s="82"/>
      <c r="N203" s="82"/>
      <c r="O203" s="128">
        <f t="shared" si="46"/>
        <v>0</v>
      </c>
      <c r="P203" s="197"/>
    </row>
    <row r="204" spans="2:16" s="49" customFormat="1" ht="12.75" hidden="1">
      <c r="B204" s="24"/>
      <c r="C204" s="27"/>
      <c r="D204" s="27">
        <v>4280</v>
      </c>
      <c r="E204" s="28" t="s">
        <v>64</v>
      </c>
      <c r="F204" s="42">
        <v>500</v>
      </c>
      <c r="G204" s="365"/>
      <c r="H204" s="82"/>
      <c r="I204" s="82"/>
      <c r="J204" s="82"/>
      <c r="K204" s="82"/>
      <c r="L204" s="82"/>
      <c r="M204" s="82"/>
      <c r="N204" s="82"/>
      <c r="O204" s="128">
        <f t="shared" si="46"/>
        <v>500</v>
      </c>
      <c r="P204" s="197"/>
    </row>
    <row r="205" spans="2:16" s="49" customFormat="1" ht="12.75" hidden="1">
      <c r="B205" s="24"/>
      <c r="C205" s="27"/>
      <c r="D205" s="27">
        <v>4300</v>
      </c>
      <c r="E205" s="28" t="s">
        <v>41</v>
      </c>
      <c r="F205" s="42">
        <v>12000</v>
      </c>
      <c r="G205" s="365"/>
      <c r="H205" s="82"/>
      <c r="I205" s="82"/>
      <c r="J205" s="82"/>
      <c r="K205" s="82"/>
      <c r="L205" s="82"/>
      <c r="M205" s="82"/>
      <c r="N205" s="82"/>
      <c r="O205" s="128">
        <f t="shared" si="46"/>
        <v>12000</v>
      </c>
      <c r="P205" s="197"/>
    </row>
    <row r="206" spans="2:16" s="49" customFormat="1" ht="12.75" hidden="1">
      <c r="B206" s="24"/>
      <c r="C206" s="27"/>
      <c r="D206" s="27">
        <v>4410</v>
      </c>
      <c r="E206" s="28" t="s">
        <v>60</v>
      </c>
      <c r="F206" s="42">
        <v>2500</v>
      </c>
      <c r="G206" s="365"/>
      <c r="H206" s="82"/>
      <c r="I206" s="82"/>
      <c r="J206" s="82"/>
      <c r="K206" s="82"/>
      <c r="L206" s="82"/>
      <c r="M206" s="82"/>
      <c r="N206" s="82"/>
      <c r="O206" s="128">
        <f t="shared" si="46"/>
        <v>2500</v>
      </c>
      <c r="P206" s="197"/>
    </row>
    <row r="207" spans="2:16" s="49" customFormat="1" ht="28.5" customHeight="1" hidden="1">
      <c r="B207" s="24"/>
      <c r="C207" s="27"/>
      <c r="D207" s="27">
        <v>4440</v>
      </c>
      <c r="E207" s="28" t="s">
        <v>68</v>
      </c>
      <c r="F207" s="42">
        <v>4800</v>
      </c>
      <c r="G207" s="365"/>
      <c r="H207" s="82"/>
      <c r="I207" s="82"/>
      <c r="J207" s="82"/>
      <c r="K207" s="82"/>
      <c r="L207" s="82"/>
      <c r="M207" s="82"/>
      <c r="N207" s="82"/>
      <c r="O207" s="128">
        <f t="shared" si="46"/>
        <v>4800</v>
      </c>
      <c r="P207" s="197"/>
    </row>
    <row r="208" spans="2:16" s="49" customFormat="1" ht="28.5" customHeight="1" hidden="1">
      <c r="B208" s="24"/>
      <c r="C208" s="27"/>
      <c r="D208" s="27">
        <v>4700</v>
      </c>
      <c r="E208" s="28" t="s">
        <v>200</v>
      </c>
      <c r="F208" s="42">
        <v>1000</v>
      </c>
      <c r="G208" s="365"/>
      <c r="H208" s="82"/>
      <c r="I208" s="82"/>
      <c r="J208" s="82"/>
      <c r="K208" s="82"/>
      <c r="L208" s="82"/>
      <c r="M208" s="82"/>
      <c r="N208" s="82"/>
      <c r="O208" s="128">
        <f t="shared" si="46"/>
        <v>1000</v>
      </c>
      <c r="P208" s="197"/>
    </row>
    <row r="209" spans="2:16" s="49" customFormat="1" ht="38.25" hidden="1">
      <c r="B209" s="24"/>
      <c r="C209" s="27"/>
      <c r="D209" s="27">
        <v>4740</v>
      </c>
      <c r="E209" s="28" t="s">
        <v>69</v>
      </c>
      <c r="F209" s="42">
        <v>500</v>
      </c>
      <c r="G209" s="365"/>
      <c r="H209" s="82"/>
      <c r="I209" s="82"/>
      <c r="J209" s="82"/>
      <c r="K209" s="82"/>
      <c r="L209" s="82"/>
      <c r="M209" s="82"/>
      <c r="N209" s="82"/>
      <c r="O209" s="128">
        <f t="shared" si="46"/>
        <v>500</v>
      </c>
      <c r="P209" s="197"/>
    </row>
    <row r="210" spans="2:16" s="49" customFormat="1" ht="27" customHeight="1" hidden="1">
      <c r="B210" s="24"/>
      <c r="C210" s="27"/>
      <c r="D210" s="27">
        <v>4750</v>
      </c>
      <c r="E210" s="28" t="s">
        <v>70</v>
      </c>
      <c r="F210" s="42">
        <v>4000</v>
      </c>
      <c r="G210" s="365"/>
      <c r="H210" s="82"/>
      <c r="I210" s="82"/>
      <c r="J210" s="82"/>
      <c r="K210" s="82"/>
      <c r="L210" s="82"/>
      <c r="M210" s="82"/>
      <c r="N210" s="82"/>
      <c r="O210" s="128">
        <f t="shared" si="46"/>
        <v>4000</v>
      </c>
      <c r="P210" s="197"/>
    </row>
    <row r="211" spans="2:16" s="49" customFormat="1" ht="28.5" customHeight="1" hidden="1">
      <c r="B211" s="24"/>
      <c r="C211" s="27"/>
      <c r="D211" s="27">
        <v>6060</v>
      </c>
      <c r="E211" s="28" t="s">
        <v>55</v>
      </c>
      <c r="F211" s="42">
        <v>0</v>
      </c>
      <c r="G211" s="365"/>
      <c r="H211" s="82"/>
      <c r="I211" s="82"/>
      <c r="J211" s="82"/>
      <c r="K211" s="82"/>
      <c r="L211" s="82"/>
      <c r="M211" s="82"/>
      <c r="N211" s="82"/>
      <c r="O211" s="128">
        <f t="shared" si="46"/>
        <v>0</v>
      </c>
      <c r="P211" s="197"/>
    </row>
    <row r="212" spans="2:16" s="49" customFormat="1" ht="28.5" customHeight="1" hidden="1">
      <c r="B212" s="24"/>
      <c r="C212" s="14">
        <v>80146</v>
      </c>
      <c r="D212" s="14"/>
      <c r="E212" s="17" t="s">
        <v>153</v>
      </c>
      <c r="F212" s="57">
        <f>SUM(F213:F215)</f>
        <v>33500</v>
      </c>
      <c r="G212" s="222">
        <f>SUM(G214:G215)</f>
        <v>0</v>
      </c>
      <c r="H212" s="58">
        <f aca="true" t="shared" si="47" ref="H212:N212">H214</f>
        <v>0</v>
      </c>
      <c r="I212" s="58">
        <f t="shared" si="47"/>
        <v>0</v>
      </c>
      <c r="J212" s="39">
        <f>SUM(J214:J215)</f>
        <v>0</v>
      </c>
      <c r="K212" s="58">
        <f t="shared" si="47"/>
        <v>0</v>
      </c>
      <c r="L212" s="58">
        <f t="shared" si="47"/>
        <v>0</v>
      </c>
      <c r="M212" s="58">
        <f t="shared" si="47"/>
        <v>0</v>
      </c>
      <c r="N212" s="58">
        <f t="shared" si="47"/>
        <v>0</v>
      </c>
      <c r="O212" s="160">
        <f>SUM(O213:O215)</f>
        <v>33500</v>
      </c>
      <c r="P212" s="215"/>
    </row>
    <row r="213" spans="2:16" s="49" customFormat="1" ht="15.75" customHeight="1" hidden="1">
      <c r="B213" s="24"/>
      <c r="C213" s="14"/>
      <c r="D213" s="27">
        <v>4210</v>
      </c>
      <c r="E213" s="28" t="s">
        <v>39</v>
      </c>
      <c r="F213" s="42">
        <v>2000</v>
      </c>
      <c r="G213" s="222"/>
      <c r="H213" s="58"/>
      <c r="I213" s="58"/>
      <c r="J213" s="39"/>
      <c r="K213" s="58"/>
      <c r="L213" s="58"/>
      <c r="M213" s="58"/>
      <c r="N213" s="58"/>
      <c r="O213" s="128">
        <f>F213+G213+H213+I213+J213+K213+L213+M213+N213</f>
        <v>2000</v>
      </c>
      <c r="P213" s="215"/>
    </row>
    <row r="214" spans="2:16" s="49" customFormat="1" ht="12.75" hidden="1">
      <c r="B214" s="24"/>
      <c r="C214" s="27"/>
      <c r="D214" s="27">
        <v>4300</v>
      </c>
      <c r="E214" s="28" t="s">
        <v>41</v>
      </c>
      <c r="F214" s="42">
        <v>28000</v>
      </c>
      <c r="G214" s="365"/>
      <c r="H214" s="82"/>
      <c r="I214" s="82"/>
      <c r="J214" s="82"/>
      <c r="K214" s="82"/>
      <c r="L214" s="82"/>
      <c r="M214" s="82"/>
      <c r="N214" s="82"/>
      <c r="O214" s="128">
        <f>F214+G214+H214+I214+J214+K214+L214+M214+N214</f>
        <v>28000</v>
      </c>
      <c r="P214" s="197"/>
    </row>
    <row r="215" spans="2:16" s="49" customFormat="1" ht="12.75" hidden="1">
      <c r="B215" s="24"/>
      <c r="C215" s="27"/>
      <c r="D215" s="27">
        <v>4410</v>
      </c>
      <c r="E215" s="28" t="s">
        <v>60</v>
      </c>
      <c r="F215" s="42">
        <v>3500</v>
      </c>
      <c r="G215" s="365"/>
      <c r="H215" s="82"/>
      <c r="I215" s="82"/>
      <c r="J215" s="82"/>
      <c r="K215" s="82"/>
      <c r="L215" s="82"/>
      <c r="M215" s="82"/>
      <c r="N215" s="82"/>
      <c r="O215" s="128">
        <f>F215+G215+H215+I215+J215+K215+L215+M215+N215</f>
        <v>3500</v>
      </c>
      <c r="P215" s="197"/>
    </row>
    <row r="216" spans="2:16" s="49" customFormat="1" ht="12.75" hidden="1">
      <c r="B216" s="24"/>
      <c r="C216" s="14">
        <v>80148</v>
      </c>
      <c r="D216" s="14"/>
      <c r="E216" s="17" t="s">
        <v>250</v>
      </c>
      <c r="F216" s="57">
        <f>SUM(F217:F227)</f>
        <v>0</v>
      </c>
      <c r="G216" s="365"/>
      <c r="H216" s="82"/>
      <c r="I216" s="82"/>
      <c r="J216" s="82"/>
      <c r="K216" s="82"/>
      <c r="L216" s="82"/>
      <c r="M216" s="82"/>
      <c r="N216" s="82"/>
      <c r="O216" s="128"/>
      <c r="P216" s="197"/>
    </row>
    <row r="217" spans="2:16" s="49" customFormat="1" ht="25.5" hidden="1">
      <c r="B217" s="24"/>
      <c r="C217" s="27"/>
      <c r="D217" s="27">
        <v>3020</v>
      </c>
      <c r="E217" s="28" t="s">
        <v>61</v>
      </c>
      <c r="F217" s="42"/>
      <c r="G217" s="365"/>
      <c r="H217" s="82"/>
      <c r="I217" s="82"/>
      <c r="J217" s="82"/>
      <c r="K217" s="82"/>
      <c r="L217" s="82"/>
      <c r="M217" s="82"/>
      <c r="N217" s="82"/>
      <c r="O217" s="128"/>
      <c r="P217" s="197"/>
    </row>
    <row r="218" spans="2:16" s="49" customFormat="1" ht="25.5" customHeight="1" hidden="1">
      <c r="B218" s="24"/>
      <c r="C218" s="27"/>
      <c r="D218" s="27">
        <v>4010</v>
      </c>
      <c r="E218" s="28" t="s">
        <v>57</v>
      </c>
      <c r="F218" s="42"/>
      <c r="G218" s="365"/>
      <c r="H218" s="82"/>
      <c r="I218" s="82"/>
      <c r="J218" s="82"/>
      <c r="K218" s="82"/>
      <c r="L218" s="82"/>
      <c r="M218" s="82"/>
      <c r="N218" s="82"/>
      <c r="O218" s="128"/>
      <c r="P218" s="197"/>
    </row>
    <row r="219" spans="2:16" s="49" customFormat="1" ht="25.5" customHeight="1" hidden="1">
      <c r="B219" s="24"/>
      <c r="C219" s="27"/>
      <c r="D219" s="27">
        <v>4040</v>
      </c>
      <c r="E219" s="28" t="s">
        <v>62</v>
      </c>
      <c r="F219" s="42"/>
      <c r="G219" s="365"/>
      <c r="H219" s="82"/>
      <c r="I219" s="82"/>
      <c r="J219" s="82"/>
      <c r="K219" s="82"/>
      <c r="L219" s="82"/>
      <c r="M219" s="82"/>
      <c r="N219" s="82"/>
      <c r="O219" s="128"/>
      <c r="P219" s="197"/>
    </row>
    <row r="220" spans="2:16" s="49" customFormat="1" ht="25.5" customHeight="1" hidden="1">
      <c r="B220" s="24"/>
      <c r="C220" s="27"/>
      <c r="D220" s="27">
        <v>4110</v>
      </c>
      <c r="E220" s="28" t="s">
        <v>58</v>
      </c>
      <c r="F220" s="42"/>
      <c r="G220" s="365"/>
      <c r="H220" s="82"/>
      <c r="I220" s="82"/>
      <c r="J220" s="82"/>
      <c r="K220" s="82"/>
      <c r="L220" s="82"/>
      <c r="M220" s="82"/>
      <c r="N220" s="82"/>
      <c r="O220" s="128"/>
      <c r="P220" s="197"/>
    </row>
    <row r="221" spans="2:16" s="49" customFormat="1" ht="12.75" customHeight="1" hidden="1">
      <c r="B221" s="24"/>
      <c r="C221" s="27"/>
      <c r="D221" s="27">
        <v>4120</v>
      </c>
      <c r="E221" s="28" t="s">
        <v>144</v>
      </c>
      <c r="F221" s="42"/>
      <c r="G221" s="365"/>
      <c r="H221" s="82"/>
      <c r="I221" s="82"/>
      <c r="J221" s="82"/>
      <c r="K221" s="82"/>
      <c r="L221" s="82"/>
      <c r="M221" s="82"/>
      <c r="N221" s="82"/>
      <c r="O221" s="128"/>
      <c r="P221" s="197"/>
    </row>
    <row r="222" spans="2:16" s="49" customFormat="1" ht="12.75" hidden="1">
      <c r="B222" s="24"/>
      <c r="C222" s="27"/>
      <c r="D222" s="27">
        <v>4210</v>
      </c>
      <c r="E222" s="28" t="s">
        <v>39</v>
      </c>
      <c r="F222" s="42"/>
      <c r="G222" s="365"/>
      <c r="H222" s="82"/>
      <c r="I222" s="82"/>
      <c r="J222" s="82"/>
      <c r="K222" s="82"/>
      <c r="L222" s="82"/>
      <c r="M222" s="82"/>
      <c r="N222" s="82"/>
      <c r="O222" s="128"/>
      <c r="P222" s="197"/>
    </row>
    <row r="223" spans="2:16" s="49" customFormat="1" ht="12.75" hidden="1">
      <c r="B223" s="24"/>
      <c r="C223" s="27"/>
      <c r="D223" s="27">
        <v>4280</v>
      </c>
      <c r="E223" s="28" t="s">
        <v>64</v>
      </c>
      <c r="F223" s="42"/>
      <c r="G223" s="365"/>
      <c r="H223" s="82"/>
      <c r="I223" s="82"/>
      <c r="J223" s="82"/>
      <c r="K223" s="82"/>
      <c r="L223" s="82"/>
      <c r="M223" s="82"/>
      <c r="N223" s="82"/>
      <c r="O223" s="128"/>
      <c r="P223" s="197"/>
    </row>
    <row r="224" spans="2:16" s="49" customFormat="1" ht="12.75" hidden="1">
      <c r="B224" s="24"/>
      <c r="C224" s="27"/>
      <c r="D224" s="27">
        <v>4300</v>
      </c>
      <c r="E224" s="28" t="s">
        <v>41</v>
      </c>
      <c r="F224" s="42"/>
      <c r="G224" s="365"/>
      <c r="H224" s="82"/>
      <c r="I224" s="82"/>
      <c r="J224" s="82"/>
      <c r="K224" s="82"/>
      <c r="L224" s="82"/>
      <c r="M224" s="82"/>
      <c r="N224" s="82"/>
      <c r="O224" s="128"/>
      <c r="P224" s="197"/>
    </row>
    <row r="225" spans="2:16" s="49" customFormat="1" ht="12.75" hidden="1">
      <c r="B225" s="24"/>
      <c r="C225" s="27"/>
      <c r="D225" s="27">
        <v>4410</v>
      </c>
      <c r="E225" s="28" t="s">
        <v>60</v>
      </c>
      <c r="F225" s="42"/>
      <c r="G225" s="365"/>
      <c r="H225" s="82"/>
      <c r="I225" s="82"/>
      <c r="J225" s="82"/>
      <c r="K225" s="82"/>
      <c r="L225" s="82"/>
      <c r="M225" s="82"/>
      <c r="N225" s="82"/>
      <c r="O225" s="128"/>
      <c r="P225" s="197"/>
    </row>
    <row r="226" spans="2:16" s="49" customFormat="1" ht="25.5" hidden="1">
      <c r="B226" s="24"/>
      <c r="C226" s="27"/>
      <c r="D226" s="27">
        <v>4440</v>
      </c>
      <c r="E226" s="28" t="s">
        <v>68</v>
      </c>
      <c r="F226" s="42"/>
      <c r="G226" s="365"/>
      <c r="H226" s="82"/>
      <c r="I226" s="82"/>
      <c r="J226" s="82"/>
      <c r="K226" s="82"/>
      <c r="L226" s="82"/>
      <c r="M226" s="82"/>
      <c r="N226" s="82"/>
      <c r="O226" s="128"/>
      <c r="P226" s="197"/>
    </row>
    <row r="227" spans="2:16" s="49" customFormat="1" ht="38.25" hidden="1">
      <c r="B227" s="24"/>
      <c r="C227" s="27"/>
      <c r="D227" s="27">
        <v>4740</v>
      </c>
      <c r="E227" s="28" t="s">
        <v>69</v>
      </c>
      <c r="F227" s="42"/>
      <c r="G227" s="365"/>
      <c r="H227" s="82"/>
      <c r="I227" s="82"/>
      <c r="J227" s="82"/>
      <c r="K227" s="82"/>
      <c r="L227" s="82"/>
      <c r="M227" s="82"/>
      <c r="N227" s="82"/>
      <c r="O227" s="128"/>
      <c r="P227" s="197"/>
    </row>
    <row r="228" spans="2:16" s="49" customFormat="1" ht="12.75" hidden="1">
      <c r="B228" s="24"/>
      <c r="C228" s="14">
        <v>80195</v>
      </c>
      <c r="D228" s="14"/>
      <c r="E228" s="17" t="s">
        <v>34</v>
      </c>
      <c r="F228" s="57">
        <f>SUM(F229:F231)</f>
        <v>57883</v>
      </c>
      <c r="G228" s="222">
        <f>SUM(G229:G231)</f>
        <v>0</v>
      </c>
      <c r="H228" s="58">
        <f aca="true" t="shared" si="48" ref="H228:N228">SUM(H229:H231)</f>
        <v>0</v>
      </c>
      <c r="I228" s="58">
        <f t="shared" si="48"/>
        <v>0</v>
      </c>
      <c r="J228" s="58">
        <f>SUM(J229:J232)</f>
        <v>0</v>
      </c>
      <c r="K228" s="58">
        <f>SUM(K229:K232)</f>
        <v>0</v>
      </c>
      <c r="L228" s="58">
        <f t="shared" si="48"/>
        <v>0</v>
      </c>
      <c r="M228" s="58">
        <f t="shared" si="48"/>
        <v>0</v>
      </c>
      <c r="N228" s="58">
        <f t="shared" si="48"/>
        <v>0</v>
      </c>
      <c r="O228" s="160">
        <f>SUM(O229:O232)</f>
        <v>57883</v>
      </c>
      <c r="P228" s="215"/>
    </row>
    <row r="229" spans="2:16" s="49" customFormat="1" ht="12.75" customHeight="1" hidden="1">
      <c r="B229" s="29"/>
      <c r="C229" s="27"/>
      <c r="D229" s="27">
        <v>4170</v>
      </c>
      <c r="E229" s="28" t="s">
        <v>63</v>
      </c>
      <c r="F229" s="42"/>
      <c r="G229" s="365"/>
      <c r="H229" s="82"/>
      <c r="I229" s="82"/>
      <c r="J229" s="82"/>
      <c r="K229" s="82"/>
      <c r="L229" s="82"/>
      <c r="M229" s="82"/>
      <c r="N229" s="82"/>
      <c r="O229" s="128">
        <f>F229+G229+H229+I229+J229+K229+L229+M229+N229</f>
        <v>0</v>
      </c>
      <c r="P229" s="197"/>
    </row>
    <row r="230" spans="2:16" s="49" customFormat="1" ht="12.75" hidden="1">
      <c r="B230" s="29"/>
      <c r="C230" s="27"/>
      <c r="D230" s="27">
        <v>4300</v>
      </c>
      <c r="E230" s="28" t="s">
        <v>41</v>
      </c>
      <c r="F230" s="106">
        <v>17883</v>
      </c>
      <c r="G230" s="365"/>
      <c r="H230" s="82"/>
      <c r="I230" s="82"/>
      <c r="J230" s="82"/>
      <c r="K230" s="82"/>
      <c r="L230" s="82"/>
      <c r="M230" s="82"/>
      <c r="N230" s="82"/>
      <c r="O230" s="128">
        <f>F230+G230+H230+I230+J230+K230+L230+M230+N230</f>
        <v>17883</v>
      </c>
      <c r="P230" s="197"/>
    </row>
    <row r="231" spans="2:16" s="49" customFormat="1" ht="25.5" hidden="1">
      <c r="B231" s="24"/>
      <c r="C231" s="27"/>
      <c r="D231" s="27">
        <v>4440</v>
      </c>
      <c r="E231" s="28" t="s">
        <v>68</v>
      </c>
      <c r="F231" s="42">
        <v>40000</v>
      </c>
      <c r="G231" s="365"/>
      <c r="H231" s="82"/>
      <c r="I231" s="82"/>
      <c r="J231" s="82"/>
      <c r="K231" s="82"/>
      <c r="L231" s="82"/>
      <c r="M231" s="82"/>
      <c r="N231" s="82"/>
      <c r="O231" s="128">
        <f>F231+G231+H231+I231+J231+K231+L231+M231+N231</f>
        <v>40000</v>
      </c>
      <c r="P231" s="197"/>
    </row>
    <row r="232" spans="2:16" s="49" customFormat="1" ht="25.5" customHeight="1" hidden="1">
      <c r="B232" s="24"/>
      <c r="C232" s="27"/>
      <c r="D232" s="27">
        <v>6060</v>
      </c>
      <c r="E232" s="28" t="s">
        <v>55</v>
      </c>
      <c r="F232" s="42"/>
      <c r="G232" s="365"/>
      <c r="H232" s="82"/>
      <c r="I232" s="82"/>
      <c r="J232" s="82"/>
      <c r="K232" s="82"/>
      <c r="L232" s="82"/>
      <c r="M232" s="82"/>
      <c r="N232" s="82"/>
      <c r="O232" s="128">
        <f>F232+G232+H232+I232+J232+K232+L232+M232+N232</f>
        <v>0</v>
      </c>
      <c r="P232" s="197"/>
    </row>
    <row r="233" spans="2:16" s="49" customFormat="1" ht="12.75" hidden="1">
      <c r="B233" s="30">
        <v>851</v>
      </c>
      <c r="C233" s="41"/>
      <c r="D233" s="41"/>
      <c r="E233" s="32" t="s">
        <v>89</v>
      </c>
      <c r="F233" s="65">
        <f>F240+F234+F252</f>
        <v>108868</v>
      </c>
      <c r="G233" s="361">
        <f>G240+G234</f>
        <v>0</v>
      </c>
      <c r="H233" s="66">
        <f>H240+H234</f>
        <v>0</v>
      </c>
      <c r="I233" s="66">
        <f>I240+I234</f>
        <v>0</v>
      </c>
      <c r="J233" s="66">
        <f>J240+J234</f>
        <v>0</v>
      </c>
      <c r="K233" s="66">
        <f>K234+K240+K252</f>
        <v>0</v>
      </c>
      <c r="L233" s="66">
        <f>L234+L240+L252</f>
        <v>0</v>
      </c>
      <c r="M233" s="66">
        <f>M234+M240+M252</f>
        <v>0</v>
      </c>
      <c r="N233" s="66">
        <f>N234+N240+N252</f>
        <v>0</v>
      </c>
      <c r="O233" s="65">
        <f>O234+O240+O252</f>
        <v>108868</v>
      </c>
      <c r="P233" s="216"/>
    </row>
    <row r="234" spans="2:16" s="69" customFormat="1" ht="12.75" hidden="1">
      <c r="B234" s="33"/>
      <c r="C234" s="36">
        <v>85153</v>
      </c>
      <c r="D234" s="111"/>
      <c r="E234" s="130" t="s">
        <v>212</v>
      </c>
      <c r="F234" s="38">
        <f>SUM(F235:F239)</f>
        <v>16868</v>
      </c>
      <c r="G234" s="362">
        <f>SUM(G235:G239)</f>
        <v>0</v>
      </c>
      <c r="H234" s="39">
        <f aca="true" t="shared" si="49" ref="H234:N234">SUM(H235:H239)</f>
        <v>0</v>
      </c>
      <c r="I234" s="39">
        <f t="shared" si="49"/>
        <v>0</v>
      </c>
      <c r="J234" s="39">
        <f t="shared" si="49"/>
        <v>0</v>
      </c>
      <c r="K234" s="39">
        <f t="shared" si="49"/>
        <v>0</v>
      </c>
      <c r="L234" s="39">
        <f t="shared" si="49"/>
        <v>0</v>
      </c>
      <c r="M234" s="39">
        <f t="shared" si="49"/>
        <v>0</v>
      </c>
      <c r="N234" s="39">
        <f t="shared" si="49"/>
        <v>0</v>
      </c>
      <c r="O234" s="160">
        <f>SUM(O235:O239)</f>
        <v>16868</v>
      </c>
      <c r="P234" s="217"/>
    </row>
    <row r="235" spans="2:16" s="69" customFormat="1" ht="12.75" customHeight="1" hidden="1">
      <c r="B235" s="33"/>
      <c r="C235" s="111"/>
      <c r="D235" s="27">
        <v>4210</v>
      </c>
      <c r="E235" s="28" t="s">
        <v>39</v>
      </c>
      <c r="F235" s="37">
        <v>3700</v>
      </c>
      <c r="G235" s="441"/>
      <c r="H235" s="40"/>
      <c r="I235" s="40"/>
      <c r="J235" s="40"/>
      <c r="K235" s="40"/>
      <c r="L235" s="40"/>
      <c r="M235" s="40"/>
      <c r="N235" s="40"/>
      <c r="O235" s="128">
        <f>F235+G235+H235+I235+J235+K235+L235+M235+N235</f>
        <v>3700</v>
      </c>
      <c r="P235" s="203"/>
    </row>
    <row r="236" spans="2:16" s="69" customFormat="1" ht="12.75" hidden="1">
      <c r="B236" s="33"/>
      <c r="C236" s="111"/>
      <c r="D236" s="27">
        <v>4300</v>
      </c>
      <c r="E236" s="28" t="s">
        <v>41</v>
      </c>
      <c r="F236" s="37">
        <v>12000</v>
      </c>
      <c r="G236" s="365"/>
      <c r="H236" s="40"/>
      <c r="I236" s="40"/>
      <c r="J236" s="40"/>
      <c r="K236" s="40"/>
      <c r="L236" s="40"/>
      <c r="M236" s="40"/>
      <c r="N236" s="40"/>
      <c r="O236" s="128">
        <f>F236+G236+H236+I236+J236+K236+L236+M236+N236</f>
        <v>12000</v>
      </c>
      <c r="P236" s="197"/>
    </row>
    <row r="237" spans="2:16" s="69" customFormat="1" ht="12.75" hidden="1">
      <c r="B237" s="33"/>
      <c r="C237" s="111"/>
      <c r="D237" s="27">
        <v>4410</v>
      </c>
      <c r="E237" s="28" t="s">
        <v>60</v>
      </c>
      <c r="F237" s="37">
        <v>200</v>
      </c>
      <c r="G237" s="441"/>
      <c r="H237" s="40"/>
      <c r="I237" s="40"/>
      <c r="J237" s="40"/>
      <c r="K237" s="40"/>
      <c r="L237" s="40"/>
      <c r="M237" s="40"/>
      <c r="N237" s="40"/>
      <c r="O237" s="128">
        <f>F237+G237+H237+I237+J237+K237+L237+M237+N237</f>
        <v>200</v>
      </c>
      <c r="P237" s="197"/>
    </row>
    <row r="238" spans="2:16" s="69" customFormat="1" ht="25.5" hidden="1">
      <c r="B238" s="33"/>
      <c r="C238" s="111"/>
      <c r="D238" s="27">
        <v>4700</v>
      </c>
      <c r="E238" s="28" t="s">
        <v>200</v>
      </c>
      <c r="F238" s="37">
        <v>868</v>
      </c>
      <c r="G238" s="441"/>
      <c r="H238" s="40"/>
      <c r="I238" s="40"/>
      <c r="J238" s="40"/>
      <c r="K238" s="40"/>
      <c r="L238" s="40"/>
      <c r="M238" s="40"/>
      <c r="N238" s="40"/>
      <c r="O238" s="128">
        <f>F238+G238+H238+I238+J238+K238+L238+M238+N238</f>
        <v>868</v>
      </c>
      <c r="P238" s="197"/>
    </row>
    <row r="239" spans="2:16" s="69" customFormat="1" ht="38.25" hidden="1">
      <c r="B239" s="33"/>
      <c r="C239" s="111"/>
      <c r="D239" s="27">
        <v>4740</v>
      </c>
      <c r="E239" s="28" t="s">
        <v>69</v>
      </c>
      <c r="F239" s="37">
        <v>100</v>
      </c>
      <c r="G239" s="441"/>
      <c r="H239" s="40"/>
      <c r="I239" s="40"/>
      <c r="J239" s="40"/>
      <c r="K239" s="40"/>
      <c r="L239" s="40"/>
      <c r="M239" s="40"/>
      <c r="N239" s="40"/>
      <c r="O239" s="128">
        <f>F239+G239+H239+I239+J239+K239+L239+M239+N239</f>
        <v>100</v>
      </c>
      <c r="P239" s="197"/>
    </row>
    <row r="240" spans="2:16" s="49" customFormat="1" ht="12.75" hidden="1">
      <c r="B240" s="24"/>
      <c r="C240" s="14">
        <v>85154</v>
      </c>
      <c r="D240" s="14"/>
      <c r="E240" s="17" t="s">
        <v>90</v>
      </c>
      <c r="F240" s="57">
        <f>SUM(F241:F251)</f>
        <v>82000</v>
      </c>
      <c r="G240" s="222">
        <f>SUM(G241:G251)</f>
        <v>0</v>
      </c>
      <c r="H240" s="58">
        <f aca="true" t="shared" si="50" ref="H240:N240">SUM(H241:H250)</f>
        <v>0</v>
      </c>
      <c r="I240" s="58">
        <f t="shared" si="50"/>
        <v>0</v>
      </c>
      <c r="J240" s="58">
        <f>SUM(J241:J251)</f>
        <v>0</v>
      </c>
      <c r="K240" s="58">
        <f t="shared" si="50"/>
        <v>0</v>
      </c>
      <c r="L240" s="58">
        <f t="shared" si="50"/>
        <v>0</v>
      </c>
      <c r="M240" s="58">
        <f t="shared" si="50"/>
        <v>0</v>
      </c>
      <c r="N240" s="58">
        <f t="shared" si="50"/>
        <v>0</v>
      </c>
      <c r="O240" s="160">
        <f>SUM(O241:O251)</f>
        <v>82000</v>
      </c>
      <c r="P240" s="197"/>
    </row>
    <row r="241" spans="2:16" s="49" customFormat="1" ht="38.25" hidden="1">
      <c r="B241" s="24"/>
      <c r="C241" s="14"/>
      <c r="D241" s="27">
        <v>2820</v>
      </c>
      <c r="E241" s="28" t="s">
        <v>193</v>
      </c>
      <c r="F241" s="42">
        <v>4000</v>
      </c>
      <c r="G241" s="365"/>
      <c r="H241" s="82"/>
      <c r="I241" s="82"/>
      <c r="J241" s="82"/>
      <c r="K241" s="82"/>
      <c r="L241" s="82"/>
      <c r="M241" s="82"/>
      <c r="N241" s="82"/>
      <c r="O241" s="128">
        <f aca="true" t="shared" si="51" ref="O241:O251">F241+G241+H241+I241+J241+K241+L241+M241+N241</f>
        <v>4000</v>
      </c>
      <c r="P241" s="197"/>
    </row>
    <row r="242" spans="2:16" s="49" customFormat="1" ht="12.75" hidden="1">
      <c r="B242" s="24"/>
      <c r="C242" s="14"/>
      <c r="D242" s="27">
        <v>4170</v>
      </c>
      <c r="E242" s="28" t="s">
        <v>63</v>
      </c>
      <c r="F242" s="42">
        <v>20000</v>
      </c>
      <c r="G242" s="365"/>
      <c r="H242" s="82"/>
      <c r="I242" s="82"/>
      <c r="J242" s="82"/>
      <c r="K242" s="82"/>
      <c r="L242" s="82"/>
      <c r="M242" s="82"/>
      <c r="N242" s="82"/>
      <c r="O242" s="128">
        <f t="shared" si="51"/>
        <v>20000</v>
      </c>
      <c r="P242" s="197"/>
    </row>
    <row r="243" spans="2:16" s="49" customFormat="1" ht="12.75" hidden="1">
      <c r="B243" s="24"/>
      <c r="C243" s="27"/>
      <c r="D243" s="27">
        <v>4210</v>
      </c>
      <c r="E243" s="28" t="s">
        <v>39</v>
      </c>
      <c r="F243" s="42">
        <v>19300</v>
      </c>
      <c r="G243" s="365"/>
      <c r="H243" s="82"/>
      <c r="I243" s="82"/>
      <c r="J243" s="82"/>
      <c r="K243" s="82"/>
      <c r="L243" s="82"/>
      <c r="M243" s="82"/>
      <c r="N243" s="82"/>
      <c r="O243" s="128">
        <f t="shared" si="51"/>
        <v>19300</v>
      </c>
      <c r="P243" s="197"/>
    </row>
    <row r="244" spans="2:16" s="49" customFormat="1" ht="12.75" hidden="1">
      <c r="B244" s="24"/>
      <c r="C244" s="27"/>
      <c r="D244" s="27">
        <v>4260</v>
      </c>
      <c r="E244" s="28" t="s">
        <v>59</v>
      </c>
      <c r="F244" s="42">
        <v>6000</v>
      </c>
      <c r="G244" s="365"/>
      <c r="H244" s="82"/>
      <c r="I244" s="82"/>
      <c r="J244" s="82"/>
      <c r="K244" s="82"/>
      <c r="L244" s="82"/>
      <c r="M244" s="82"/>
      <c r="N244" s="82"/>
      <c r="O244" s="128">
        <f t="shared" si="51"/>
        <v>6000</v>
      </c>
      <c r="P244" s="197"/>
    </row>
    <row r="245" spans="2:16" s="49" customFormat="1" ht="12.75" hidden="1">
      <c r="B245" s="24"/>
      <c r="C245" s="27"/>
      <c r="D245" s="27">
        <v>4270</v>
      </c>
      <c r="E245" s="28" t="s">
        <v>40</v>
      </c>
      <c r="F245" s="42">
        <v>11000</v>
      </c>
      <c r="G245" s="365"/>
      <c r="H245" s="82"/>
      <c r="I245" s="82"/>
      <c r="J245" s="82"/>
      <c r="K245" s="82"/>
      <c r="L245" s="82"/>
      <c r="M245" s="82"/>
      <c r="N245" s="82"/>
      <c r="O245" s="128">
        <f t="shared" si="51"/>
        <v>11000</v>
      </c>
      <c r="P245" s="197"/>
    </row>
    <row r="246" spans="2:16" s="49" customFormat="1" ht="12.75" hidden="1">
      <c r="B246" s="24"/>
      <c r="C246" s="27"/>
      <c r="D246" s="27">
        <v>4300</v>
      </c>
      <c r="E246" s="28" t="s">
        <v>41</v>
      </c>
      <c r="F246" s="42">
        <v>14000</v>
      </c>
      <c r="G246" s="365"/>
      <c r="H246" s="82"/>
      <c r="I246" s="82"/>
      <c r="J246" s="82"/>
      <c r="K246" s="82"/>
      <c r="L246" s="82"/>
      <c r="M246" s="82"/>
      <c r="N246" s="82"/>
      <c r="O246" s="128">
        <f t="shared" si="51"/>
        <v>14000</v>
      </c>
      <c r="P246" s="197"/>
    </row>
    <row r="247" spans="2:16" s="49" customFormat="1" ht="28.5" customHeight="1" hidden="1">
      <c r="B247" s="24"/>
      <c r="C247" s="27"/>
      <c r="D247" s="27">
        <v>4370</v>
      </c>
      <c r="E247" s="28" t="s">
        <v>67</v>
      </c>
      <c r="F247" s="42">
        <v>700</v>
      </c>
      <c r="G247" s="365"/>
      <c r="H247" s="82"/>
      <c r="I247" s="82"/>
      <c r="J247" s="82"/>
      <c r="K247" s="82"/>
      <c r="L247" s="82"/>
      <c r="M247" s="82"/>
      <c r="N247" s="82"/>
      <c r="O247" s="128">
        <f t="shared" si="51"/>
        <v>700</v>
      </c>
      <c r="P247" s="197"/>
    </row>
    <row r="248" spans="2:16" s="49" customFormat="1" ht="12.75" hidden="1">
      <c r="B248" s="24"/>
      <c r="C248" s="27"/>
      <c r="D248" s="27">
        <v>4410</v>
      </c>
      <c r="E248" s="28" t="s">
        <v>60</v>
      </c>
      <c r="F248" s="42">
        <v>300</v>
      </c>
      <c r="G248" s="365"/>
      <c r="H248" s="82"/>
      <c r="I248" s="82"/>
      <c r="J248" s="82"/>
      <c r="K248" s="82"/>
      <c r="L248" s="82"/>
      <c r="M248" s="82"/>
      <c r="N248" s="82"/>
      <c r="O248" s="128">
        <f t="shared" si="51"/>
        <v>300</v>
      </c>
      <c r="P248" s="197"/>
    </row>
    <row r="249" spans="2:16" s="49" customFormat="1" ht="12.75" hidden="1">
      <c r="B249" s="24"/>
      <c r="C249" s="27"/>
      <c r="D249" s="27">
        <v>4430</v>
      </c>
      <c r="E249" s="28" t="s">
        <v>46</v>
      </c>
      <c r="F249" s="42">
        <v>500</v>
      </c>
      <c r="G249" s="365"/>
      <c r="H249" s="82"/>
      <c r="I249" s="82"/>
      <c r="J249" s="82"/>
      <c r="K249" s="82"/>
      <c r="L249" s="82"/>
      <c r="M249" s="82"/>
      <c r="N249" s="82"/>
      <c r="O249" s="128">
        <f t="shared" si="51"/>
        <v>500</v>
      </c>
      <c r="P249" s="197"/>
    </row>
    <row r="250" spans="2:16" s="49" customFormat="1" ht="38.25" hidden="1">
      <c r="B250" s="24"/>
      <c r="C250" s="27"/>
      <c r="D250" s="27">
        <v>4740</v>
      </c>
      <c r="E250" s="28" t="s">
        <v>69</v>
      </c>
      <c r="F250" s="42">
        <v>200</v>
      </c>
      <c r="G250" s="365"/>
      <c r="H250" s="82"/>
      <c r="I250" s="82"/>
      <c r="J250" s="82"/>
      <c r="K250" s="82"/>
      <c r="L250" s="82"/>
      <c r="M250" s="82"/>
      <c r="N250" s="82"/>
      <c r="O250" s="128">
        <f t="shared" si="51"/>
        <v>200</v>
      </c>
      <c r="P250" s="197"/>
    </row>
    <row r="251" spans="2:16" s="49" customFormat="1" ht="28.5" customHeight="1" hidden="1">
      <c r="B251" s="24"/>
      <c r="C251" s="14"/>
      <c r="D251" s="27">
        <v>6060</v>
      </c>
      <c r="E251" s="28" t="s">
        <v>55</v>
      </c>
      <c r="F251" s="42">
        <v>6000</v>
      </c>
      <c r="G251" s="365"/>
      <c r="H251" s="58"/>
      <c r="I251" s="58"/>
      <c r="J251" s="82"/>
      <c r="K251" s="58"/>
      <c r="L251" s="58"/>
      <c r="M251" s="58"/>
      <c r="N251" s="58"/>
      <c r="O251" s="128">
        <f t="shared" si="51"/>
        <v>6000</v>
      </c>
      <c r="P251" s="197"/>
    </row>
    <row r="252" spans="2:16" s="49" customFormat="1" ht="12.75" hidden="1">
      <c r="B252" s="24"/>
      <c r="C252" s="14">
        <v>85195</v>
      </c>
      <c r="D252" s="14"/>
      <c r="E252" s="17" t="s">
        <v>34</v>
      </c>
      <c r="F252" s="57">
        <f>F253</f>
        <v>10000</v>
      </c>
      <c r="G252" s="222">
        <f aca="true" t="shared" si="52" ref="G252:O252">G253</f>
        <v>0</v>
      </c>
      <c r="H252" s="58">
        <f t="shared" si="52"/>
        <v>0</v>
      </c>
      <c r="I252" s="58">
        <f t="shared" si="52"/>
        <v>0</v>
      </c>
      <c r="J252" s="58">
        <f t="shared" si="52"/>
        <v>0</v>
      </c>
      <c r="K252" s="58">
        <f t="shared" si="52"/>
        <v>0</v>
      </c>
      <c r="L252" s="58">
        <f t="shared" si="52"/>
        <v>0</v>
      </c>
      <c r="M252" s="58">
        <f t="shared" si="52"/>
        <v>0</v>
      </c>
      <c r="N252" s="58">
        <f t="shared" si="52"/>
        <v>0</v>
      </c>
      <c r="O252" s="160">
        <f t="shared" si="52"/>
        <v>10000</v>
      </c>
      <c r="P252" s="215"/>
    </row>
    <row r="253" spans="2:16" s="49" customFormat="1" ht="28.5" customHeight="1" hidden="1">
      <c r="B253" s="24"/>
      <c r="C253" s="14"/>
      <c r="D253" s="27">
        <v>6050</v>
      </c>
      <c r="E253" s="28" t="s">
        <v>44</v>
      </c>
      <c r="F253" s="42">
        <v>10000</v>
      </c>
      <c r="G253" s="365"/>
      <c r="H253" s="58"/>
      <c r="I253" s="58"/>
      <c r="J253" s="82"/>
      <c r="K253" s="82"/>
      <c r="L253" s="58"/>
      <c r="M253" s="58"/>
      <c r="N253" s="58"/>
      <c r="O253" s="128">
        <f>F253+G253+H253+I253+J253+K253+L253+M253+N253</f>
        <v>10000</v>
      </c>
      <c r="P253" s="197"/>
    </row>
    <row r="254" spans="2:16" s="49" customFormat="1" ht="12.75">
      <c r="B254" s="30">
        <v>852</v>
      </c>
      <c r="C254" s="41"/>
      <c r="D254" s="41"/>
      <c r="E254" s="32" t="s">
        <v>165</v>
      </c>
      <c r="F254" s="65">
        <f>F264+F266+F270+F272+F294+F298+F255</f>
        <v>2665027</v>
      </c>
      <c r="G254" s="361">
        <f aca="true" t="shared" si="53" ref="G254:N254">G264+G266+G270+G272+G294+G298+G255</f>
        <v>4350</v>
      </c>
      <c r="H254" s="66">
        <f t="shared" si="53"/>
        <v>0</v>
      </c>
      <c r="I254" s="66">
        <f t="shared" si="53"/>
        <v>0</v>
      </c>
      <c r="J254" s="66">
        <f t="shared" si="53"/>
        <v>0</v>
      </c>
      <c r="K254" s="66">
        <f t="shared" si="53"/>
        <v>0</v>
      </c>
      <c r="L254" s="66">
        <f t="shared" si="53"/>
        <v>0</v>
      </c>
      <c r="M254" s="66">
        <f t="shared" si="53"/>
        <v>0</v>
      </c>
      <c r="N254" s="66">
        <f t="shared" si="53"/>
        <v>0</v>
      </c>
      <c r="O254" s="65">
        <f>O264+O266+O270+O272+O294+O298+O255</f>
        <v>2669377</v>
      </c>
      <c r="P254" s="216"/>
    </row>
    <row r="255" spans="2:16" s="69" customFormat="1" ht="51">
      <c r="B255" s="33"/>
      <c r="C255" s="36">
        <v>85212</v>
      </c>
      <c r="D255" s="111"/>
      <c r="E255" s="8" t="s">
        <v>475</v>
      </c>
      <c r="F255" s="38">
        <f>SUM(F256:F263)</f>
        <v>1652900</v>
      </c>
      <c r="G255" s="362">
        <f>SUM(G256:G261)</f>
        <v>0</v>
      </c>
      <c r="H255" s="39">
        <f>SUM(H256:H261)</f>
        <v>0</v>
      </c>
      <c r="I255" s="39">
        <f>SUM(I256:I262)</f>
        <v>0</v>
      </c>
      <c r="J255" s="39">
        <f>SUM(J256:J261)</f>
        <v>0</v>
      </c>
      <c r="K255" s="39">
        <f>SUM(K256:K263)</f>
        <v>0</v>
      </c>
      <c r="L255" s="39">
        <f>SUM(L256:L261)</f>
        <v>0</v>
      </c>
      <c r="M255" s="39">
        <f>SUM(M256:M261)</f>
        <v>0</v>
      </c>
      <c r="N255" s="39">
        <f>SUM(N256:N261)</f>
        <v>0</v>
      </c>
      <c r="O255" s="160">
        <f>SUM(O256:O263)</f>
        <v>1652900</v>
      </c>
      <c r="P255" s="217"/>
    </row>
    <row r="256" spans="2:16" s="69" customFormat="1" ht="12.75">
      <c r="B256" s="33"/>
      <c r="C256" s="111"/>
      <c r="D256" s="27">
        <v>3110</v>
      </c>
      <c r="E256" s="28" t="s">
        <v>169</v>
      </c>
      <c r="F256" s="37">
        <v>1603313</v>
      </c>
      <c r="G256" s="441"/>
      <c r="H256" s="40"/>
      <c r="I256" s="40"/>
      <c r="J256" s="40"/>
      <c r="K256" s="40"/>
      <c r="L256" s="40"/>
      <c r="M256" s="40"/>
      <c r="N256" s="40"/>
      <c r="O256" s="128">
        <f aca="true" t="shared" si="54" ref="O256:O263">F256+G256+H256+I256+J256+K256+L256+M256+N256</f>
        <v>1603313</v>
      </c>
      <c r="P256" s="203"/>
    </row>
    <row r="257" spans="2:16" s="69" customFormat="1" ht="12.75">
      <c r="B257" s="33"/>
      <c r="C257" s="111"/>
      <c r="D257" s="27">
        <v>4010</v>
      </c>
      <c r="E257" s="28" t="s">
        <v>57</v>
      </c>
      <c r="F257" s="37">
        <v>32311</v>
      </c>
      <c r="G257" s="441"/>
      <c r="H257" s="40"/>
      <c r="I257" s="40"/>
      <c r="J257" s="40"/>
      <c r="K257" s="40"/>
      <c r="L257" s="40"/>
      <c r="M257" s="40"/>
      <c r="N257" s="40"/>
      <c r="O257" s="128">
        <f t="shared" si="54"/>
        <v>32311</v>
      </c>
      <c r="P257" s="203"/>
    </row>
    <row r="258" spans="2:16" s="69" customFormat="1" ht="12.75">
      <c r="B258" s="33"/>
      <c r="C258" s="111"/>
      <c r="D258" s="27">
        <v>4110</v>
      </c>
      <c r="E258" s="28" t="s">
        <v>58</v>
      </c>
      <c r="F258" s="37">
        <v>4879</v>
      </c>
      <c r="G258" s="441"/>
      <c r="H258" s="40"/>
      <c r="I258" s="40"/>
      <c r="J258" s="40"/>
      <c r="K258" s="40"/>
      <c r="L258" s="40"/>
      <c r="M258" s="40"/>
      <c r="N258" s="40"/>
      <c r="O258" s="128">
        <f t="shared" si="54"/>
        <v>4879</v>
      </c>
      <c r="P258" s="203"/>
    </row>
    <row r="259" spans="2:16" s="69" customFormat="1" ht="12.75">
      <c r="B259" s="33"/>
      <c r="C259" s="111"/>
      <c r="D259" s="27">
        <v>4210</v>
      </c>
      <c r="E259" s="28" t="s">
        <v>39</v>
      </c>
      <c r="F259" s="37">
        <v>1000</v>
      </c>
      <c r="G259" s="441"/>
      <c r="H259" s="40"/>
      <c r="I259" s="40"/>
      <c r="J259" s="40"/>
      <c r="K259" s="40"/>
      <c r="L259" s="40"/>
      <c r="M259" s="40"/>
      <c r="N259" s="40"/>
      <c r="O259" s="128">
        <f t="shared" si="54"/>
        <v>1000</v>
      </c>
      <c r="P259" s="203"/>
    </row>
    <row r="260" spans="2:16" s="69" customFormat="1" ht="12.75">
      <c r="B260" s="33"/>
      <c r="C260" s="111"/>
      <c r="D260" s="27">
        <v>4300</v>
      </c>
      <c r="E260" s="28" t="s">
        <v>41</v>
      </c>
      <c r="F260" s="37">
        <v>8504</v>
      </c>
      <c r="G260" s="441"/>
      <c r="H260" s="40"/>
      <c r="I260" s="40"/>
      <c r="J260" s="40"/>
      <c r="K260" s="40"/>
      <c r="L260" s="40"/>
      <c r="M260" s="40"/>
      <c r="N260" s="40"/>
      <c r="O260" s="128">
        <f t="shared" si="54"/>
        <v>8504</v>
      </c>
      <c r="P260" s="203"/>
    </row>
    <row r="261" spans="2:16" s="69" customFormat="1" ht="12.75">
      <c r="B261" s="33"/>
      <c r="C261" s="111"/>
      <c r="D261" s="27">
        <v>4410</v>
      </c>
      <c r="E261" s="28" t="s">
        <v>60</v>
      </c>
      <c r="F261" s="37">
        <v>893</v>
      </c>
      <c r="G261" s="441"/>
      <c r="H261" s="40"/>
      <c r="I261" s="40"/>
      <c r="J261" s="40"/>
      <c r="K261" s="40"/>
      <c r="L261" s="40"/>
      <c r="M261" s="40"/>
      <c r="N261" s="40"/>
      <c r="O261" s="128">
        <f t="shared" si="54"/>
        <v>893</v>
      </c>
      <c r="P261" s="203"/>
    </row>
    <row r="262" spans="2:16" s="69" customFormat="1" ht="25.5">
      <c r="B262" s="33"/>
      <c r="C262" s="111"/>
      <c r="D262" s="27">
        <v>4700</v>
      </c>
      <c r="E262" s="28" t="s">
        <v>200</v>
      </c>
      <c r="F262" s="37">
        <v>2000</v>
      </c>
      <c r="G262" s="441"/>
      <c r="H262" s="40"/>
      <c r="I262" s="40"/>
      <c r="J262" s="40"/>
      <c r="K262" s="40"/>
      <c r="L262" s="40"/>
      <c r="M262" s="40"/>
      <c r="N262" s="40"/>
      <c r="O262" s="128">
        <f t="shared" si="54"/>
        <v>2000</v>
      </c>
      <c r="P262" s="203"/>
    </row>
    <row r="263" spans="2:16" s="69" customFormat="1" ht="25.5" customHeight="1">
      <c r="B263" s="33"/>
      <c r="C263" s="111"/>
      <c r="D263" s="27">
        <v>6060</v>
      </c>
      <c r="E263" s="28" t="s">
        <v>55</v>
      </c>
      <c r="F263" s="37"/>
      <c r="G263" s="441"/>
      <c r="H263" s="40"/>
      <c r="I263" s="40"/>
      <c r="J263" s="40"/>
      <c r="K263" s="40"/>
      <c r="L263" s="40"/>
      <c r="M263" s="40"/>
      <c r="N263" s="40"/>
      <c r="O263" s="128">
        <f t="shared" si="54"/>
        <v>0</v>
      </c>
      <c r="P263" s="203"/>
    </row>
    <row r="264" spans="2:16" s="69" customFormat="1" ht="51">
      <c r="B264" s="33"/>
      <c r="C264" s="14">
        <v>85213</v>
      </c>
      <c r="D264" s="14"/>
      <c r="E264" s="17" t="s">
        <v>166</v>
      </c>
      <c r="F264" s="57">
        <f aca="true" t="shared" si="55" ref="F264:N264">F265</f>
        <v>9200</v>
      </c>
      <c r="G264" s="222">
        <f t="shared" si="55"/>
        <v>0</v>
      </c>
      <c r="H264" s="58">
        <f t="shared" si="55"/>
        <v>0</v>
      </c>
      <c r="I264" s="58">
        <f t="shared" si="55"/>
        <v>0</v>
      </c>
      <c r="J264" s="58">
        <f t="shared" si="55"/>
        <v>0</v>
      </c>
      <c r="K264" s="58">
        <f t="shared" si="55"/>
        <v>0</v>
      </c>
      <c r="L264" s="58">
        <f t="shared" si="55"/>
        <v>0</v>
      </c>
      <c r="M264" s="58">
        <f t="shared" si="55"/>
        <v>0</v>
      </c>
      <c r="N264" s="58">
        <f t="shared" si="55"/>
        <v>0</v>
      </c>
      <c r="O264" s="160">
        <f>O265</f>
        <v>9200</v>
      </c>
      <c r="P264" s="215"/>
    </row>
    <row r="265" spans="2:16" s="69" customFormat="1" ht="12.75">
      <c r="B265" s="33"/>
      <c r="C265" s="111"/>
      <c r="D265" s="27">
        <v>4130</v>
      </c>
      <c r="E265" s="28" t="s">
        <v>170</v>
      </c>
      <c r="F265" s="37">
        <v>9200</v>
      </c>
      <c r="G265" s="441"/>
      <c r="H265" s="40"/>
      <c r="I265" s="40"/>
      <c r="J265" s="40"/>
      <c r="K265" s="40"/>
      <c r="L265" s="40"/>
      <c r="M265" s="40"/>
      <c r="N265" s="40"/>
      <c r="O265" s="128">
        <f>F265+G265+H265+I265+J265+K265+L265+M265+N265</f>
        <v>9200</v>
      </c>
      <c r="P265" s="203"/>
    </row>
    <row r="266" spans="2:16" s="49" customFormat="1" ht="25.5">
      <c r="B266" s="24"/>
      <c r="C266" s="14">
        <v>85214</v>
      </c>
      <c r="D266" s="14"/>
      <c r="E266" s="17" t="s">
        <v>167</v>
      </c>
      <c r="F266" s="57">
        <f>SUM(F267:F269)</f>
        <v>270700</v>
      </c>
      <c r="G266" s="222">
        <f>SUM(G267:G269)</f>
        <v>0</v>
      </c>
      <c r="H266" s="58">
        <f aca="true" t="shared" si="56" ref="H266:N266">SUM(H267:H269)</f>
        <v>0</v>
      </c>
      <c r="I266" s="58">
        <f t="shared" si="56"/>
        <v>0</v>
      </c>
      <c r="J266" s="58">
        <f t="shared" si="56"/>
        <v>0</v>
      </c>
      <c r="K266" s="58">
        <f t="shared" si="56"/>
        <v>0</v>
      </c>
      <c r="L266" s="58">
        <f t="shared" si="56"/>
        <v>0</v>
      </c>
      <c r="M266" s="58">
        <f t="shared" si="56"/>
        <v>0</v>
      </c>
      <c r="N266" s="58">
        <f t="shared" si="56"/>
        <v>0</v>
      </c>
      <c r="O266" s="160">
        <f>SUM(O267:O269)</f>
        <v>270700</v>
      </c>
      <c r="P266" s="215"/>
    </row>
    <row r="267" spans="2:16" s="49" customFormat="1" ht="12.75">
      <c r="B267" s="24"/>
      <c r="C267" s="27"/>
      <c r="D267" s="27">
        <v>3110</v>
      </c>
      <c r="E267" s="28" t="s">
        <v>169</v>
      </c>
      <c r="F267" s="42">
        <v>148000</v>
      </c>
      <c r="G267" s="365"/>
      <c r="H267" s="82"/>
      <c r="I267" s="82"/>
      <c r="J267" s="82"/>
      <c r="K267" s="82"/>
      <c r="L267" s="82"/>
      <c r="M267" s="82"/>
      <c r="N267" s="82"/>
      <c r="O267" s="128">
        <f>F267+G267+H267+I267+J267+K267+L267+M267+N267</f>
        <v>148000</v>
      </c>
      <c r="P267" s="197"/>
    </row>
    <row r="268" spans="2:16" s="49" customFormat="1" ht="12.75">
      <c r="B268" s="24"/>
      <c r="C268" s="27"/>
      <c r="D268" s="27">
        <v>4110</v>
      </c>
      <c r="E268" s="28" t="s">
        <v>171</v>
      </c>
      <c r="F268" s="42">
        <v>2700</v>
      </c>
      <c r="G268" s="365"/>
      <c r="H268" s="82"/>
      <c r="I268" s="82"/>
      <c r="J268" s="82"/>
      <c r="K268" s="82"/>
      <c r="L268" s="82"/>
      <c r="M268" s="82"/>
      <c r="N268" s="82"/>
      <c r="O268" s="128">
        <f>F268+G268+H268+I268+J268+K268+L268+M268+N268</f>
        <v>2700</v>
      </c>
      <c r="P268" s="197"/>
    </row>
    <row r="269" spans="2:16" s="49" customFormat="1" ht="38.25">
      <c r="B269" s="24"/>
      <c r="C269" s="27"/>
      <c r="D269" s="27">
        <v>4330</v>
      </c>
      <c r="E269" s="28" t="s">
        <v>172</v>
      </c>
      <c r="F269" s="42">
        <f>90000+30000</f>
        <v>120000</v>
      </c>
      <c r="G269" s="365"/>
      <c r="H269" s="82"/>
      <c r="I269" s="82"/>
      <c r="J269" s="82"/>
      <c r="K269" s="82"/>
      <c r="L269" s="82"/>
      <c r="M269" s="82"/>
      <c r="N269" s="82"/>
      <c r="O269" s="128">
        <f>F269+G269+H269+I269+J269+K269+L269+M269+N269</f>
        <v>120000</v>
      </c>
      <c r="P269" s="197"/>
    </row>
    <row r="270" spans="2:16" s="49" customFormat="1" ht="12.75">
      <c r="B270" s="24"/>
      <c r="C270" s="14">
        <v>85215</v>
      </c>
      <c r="D270" s="14"/>
      <c r="E270" s="17" t="s">
        <v>173</v>
      </c>
      <c r="F270" s="57">
        <f aca="true" t="shared" si="57" ref="F270:N270">SUM(F271)</f>
        <v>135000</v>
      </c>
      <c r="G270" s="222">
        <f t="shared" si="57"/>
        <v>0</v>
      </c>
      <c r="H270" s="58">
        <f t="shared" si="57"/>
        <v>0</v>
      </c>
      <c r="I270" s="58">
        <f t="shared" si="57"/>
        <v>0</v>
      </c>
      <c r="J270" s="58">
        <f t="shared" si="57"/>
        <v>0</v>
      </c>
      <c r="K270" s="58">
        <f t="shared" si="57"/>
        <v>0</v>
      </c>
      <c r="L270" s="58">
        <f t="shared" si="57"/>
        <v>0</v>
      </c>
      <c r="M270" s="58">
        <f t="shared" si="57"/>
        <v>0</v>
      </c>
      <c r="N270" s="58">
        <f t="shared" si="57"/>
        <v>0</v>
      </c>
      <c r="O270" s="160">
        <f>SUM(O271)</f>
        <v>135000</v>
      </c>
      <c r="P270" s="215"/>
    </row>
    <row r="271" spans="2:16" s="49" customFormat="1" ht="12.75">
      <c r="B271" s="24"/>
      <c r="C271" s="27"/>
      <c r="D271" s="27">
        <v>3110</v>
      </c>
      <c r="E271" s="28" t="s">
        <v>169</v>
      </c>
      <c r="F271" s="42">
        <v>135000</v>
      </c>
      <c r="G271" s="365"/>
      <c r="H271" s="82"/>
      <c r="I271" s="82"/>
      <c r="J271" s="82"/>
      <c r="K271" s="82"/>
      <c r="L271" s="82"/>
      <c r="M271" s="82"/>
      <c r="N271" s="82"/>
      <c r="O271" s="128">
        <f>F271+G271+H271+I271+J271+K271+L271+M271+N271</f>
        <v>135000</v>
      </c>
      <c r="P271" s="197"/>
    </row>
    <row r="272" spans="2:16" s="49" customFormat="1" ht="12.75">
      <c r="B272" s="24"/>
      <c r="C272" s="14">
        <v>85219</v>
      </c>
      <c r="D272" s="14"/>
      <c r="E272" s="17" t="s">
        <v>168</v>
      </c>
      <c r="F272" s="57">
        <f>SUM(F273:F293)</f>
        <v>522527</v>
      </c>
      <c r="G272" s="222">
        <f>SUM(G273:G293)</f>
        <v>4350</v>
      </c>
      <c r="H272" s="58">
        <f aca="true" t="shared" si="58" ref="H272:N272">SUM(H273:H293)</f>
        <v>0</v>
      </c>
      <c r="I272" s="58">
        <f t="shared" si="58"/>
        <v>0</v>
      </c>
      <c r="J272" s="58">
        <f t="shared" si="58"/>
        <v>0</v>
      </c>
      <c r="K272" s="58">
        <f t="shared" si="58"/>
        <v>0</v>
      </c>
      <c r="L272" s="58">
        <f t="shared" si="58"/>
        <v>0</v>
      </c>
      <c r="M272" s="58">
        <f t="shared" si="58"/>
        <v>0</v>
      </c>
      <c r="N272" s="58">
        <f t="shared" si="58"/>
        <v>0</v>
      </c>
      <c r="O272" s="160">
        <f>SUM(O273:O293)</f>
        <v>526877</v>
      </c>
      <c r="P272" s="215"/>
    </row>
    <row r="273" spans="2:16" s="49" customFormat="1" ht="28.5" customHeight="1">
      <c r="B273" s="24"/>
      <c r="C273" s="27"/>
      <c r="D273" s="27">
        <v>3020</v>
      </c>
      <c r="E273" s="28" t="s">
        <v>61</v>
      </c>
      <c r="F273" s="42">
        <v>6000</v>
      </c>
      <c r="G273" s="365"/>
      <c r="H273" s="82"/>
      <c r="I273" s="82"/>
      <c r="J273" s="82"/>
      <c r="K273" s="82"/>
      <c r="L273" s="82"/>
      <c r="M273" s="82"/>
      <c r="N273" s="82"/>
      <c r="O273" s="128">
        <f aca="true" t="shared" si="59" ref="O273:O293">F273+G273+H273+I273+J273+K273+L273+M273+N273</f>
        <v>6000</v>
      </c>
      <c r="P273" s="197"/>
    </row>
    <row r="274" spans="2:16" s="49" customFormat="1" ht="33.75">
      <c r="B274" s="24"/>
      <c r="C274" s="27"/>
      <c r="D274" s="27">
        <v>4010</v>
      </c>
      <c r="E274" s="28" t="s">
        <v>57</v>
      </c>
      <c r="F274" s="42">
        <v>312700</v>
      </c>
      <c r="G274" s="365">
        <v>4350</v>
      </c>
      <c r="H274" s="82"/>
      <c r="I274" s="82"/>
      <c r="J274" s="82"/>
      <c r="K274" s="82"/>
      <c r="L274" s="82"/>
      <c r="M274" s="82"/>
      <c r="N274" s="82"/>
      <c r="O274" s="128">
        <f t="shared" si="59"/>
        <v>317050</v>
      </c>
      <c r="P274" s="186" t="s">
        <v>487</v>
      </c>
    </row>
    <row r="275" spans="2:16" s="49" customFormat="1" ht="12.75">
      <c r="B275" s="24"/>
      <c r="C275" s="27"/>
      <c r="D275" s="27">
        <v>4040</v>
      </c>
      <c r="E275" s="28" t="s">
        <v>62</v>
      </c>
      <c r="F275" s="42">
        <v>23160</v>
      </c>
      <c r="G275" s="365"/>
      <c r="H275" s="82"/>
      <c r="I275" s="82"/>
      <c r="J275" s="82"/>
      <c r="K275" s="82"/>
      <c r="L275" s="82"/>
      <c r="M275" s="82"/>
      <c r="N275" s="82"/>
      <c r="O275" s="128">
        <f t="shared" si="59"/>
        <v>23160</v>
      </c>
      <c r="P275" s="197"/>
    </row>
    <row r="276" spans="2:16" s="49" customFormat="1" ht="12.75">
      <c r="B276" s="24"/>
      <c r="C276" s="27"/>
      <c r="D276" s="27">
        <v>4110</v>
      </c>
      <c r="E276" s="28" t="s">
        <v>58</v>
      </c>
      <c r="F276" s="42">
        <v>54000</v>
      </c>
      <c r="G276" s="365"/>
      <c r="H276" s="82"/>
      <c r="I276" s="82"/>
      <c r="J276" s="82"/>
      <c r="K276" s="82"/>
      <c r="L276" s="82"/>
      <c r="M276" s="82"/>
      <c r="N276" s="82"/>
      <c r="O276" s="128">
        <f t="shared" si="59"/>
        <v>54000</v>
      </c>
      <c r="P276" s="197"/>
    </row>
    <row r="277" spans="2:16" s="49" customFormat="1" ht="12.75">
      <c r="B277" s="24"/>
      <c r="C277" s="27"/>
      <c r="D277" s="27">
        <v>4120</v>
      </c>
      <c r="E277" s="28" t="s">
        <v>174</v>
      </c>
      <c r="F277" s="42">
        <v>8600</v>
      </c>
      <c r="G277" s="365"/>
      <c r="H277" s="82"/>
      <c r="I277" s="82"/>
      <c r="J277" s="82"/>
      <c r="K277" s="82"/>
      <c r="L277" s="82"/>
      <c r="M277" s="82"/>
      <c r="N277" s="82"/>
      <c r="O277" s="128">
        <f t="shared" si="59"/>
        <v>8600</v>
      </c>
      <c r="P277" s="197"/>
    </row>
    <row r="278" spans="2:16" s="49" customFormat="1" ht="12.75">
      <c r="B278" s="24"/>
      <c r="C278" s="27"/>
      <c r="D278" s="27">
        <v>4170</v>
      </c>
      <c r="E278" s="28" t="s">
        <v>63</v>
      </c>
      <c r="F278" s="42">
        <v>8000</v>
      </c>
      <c r="G278" s="365"/>
      <c r="H278" s="82"/>
      <c r="I278" s="82"/>
      <c r="J278" s="82"/>
      <c r="K278" s="82"/>
      <c r="L278" s="82"/>
      <c r="M278" s="82"/>
      <c r="N278" s="82"/>
      <c r="O278" s="128">
        <f t="shared" si="59"/>
        <v>8000</v>
      </c>
      <c r="P278" s="197"/>
    </row>
    <row r="279" spans="2:16" s="49" customFormat="1" ht="23.25" customHeight="1">
      <c r="B279" s="24"/>
      <c r="C279" s="27"/>
      <c r="D279" s="27">
        <v>4210</v>
      </c>
      <c r="E279" s="28" t="s">
        <v>39</v>
      </c>
      <c r="F279" s="42">
        <v>16000</v>
      </c>
      <c r="G279" s="365"/>
      <c r="H279" s="82"/>
      <c r="I279" s="82"/>
      <c r="J279" s="82"/>
      <c r="K279" s="82"/>
      <c r="L279" s="82"/>
      <c r="M279" s="82"/>
      <c r="N279" s="82"/>
      <c r="O279" s="128">
        <f t="shared" si="59"/>
        <v>16000</v>
      </c>
      <c r="P279" s="197"/>
    </row>
    <row r="280" spans="2:16" s="49" customFormat="1" ht="12.75">
      <c r="B280" s="24"/>
      <c r="C280" s="27"/>
      <c r="D280" s="27">
        <v>4260</v>
      </c>
      <c r="E280" s="28" t="s">
        <v>59</v>
      </c>
      <c r="F280" s="42">
        <v>10800</v>
      </c>
      <c r="G280" s="365"/>
      <c r="H280" s="82"/>
      <c r="I280" s="82"/>
      <c r="J280" s="82"/>
      <c r="K280" s="82"/>
      <c r="L280" s="82"/>
      <c r="M280" s="82"/>
      <c r="N280" s="82"/>
      <c r="O280" s="128">
        <f t="shared" si="59"/>
        <v>10800</v>
      </c>
      <c r="P280" s="197"/>
    </row>
    <row r="281" spans="2:16" s="49" customFormat="1" ht="12.75">
      <c r="B281" s="24"/>
      <c r="C281" s="27"/>
      <c r="D281" s="27">
        <v>4270</v>
      </c>
      <c r="E281" s="28" t="s">
        <v>71</v>
      </c>
      <c r="F281" s="42">
        <v>12000</v>
      </c>
      <c r="G281" s="365"/>
      <c r="H281" s="82"/>
      <c r="I281" s="82"/>
      <c r="J281" s="82"/>
      <c r="K281" s="82"/>
      <c r="L281" s="82"/>
      <c r="M281" s="82"/>
      <c r="N281" s="82"/>
      <c r="O281" s="128">
        <f t="shared" si="59"/>
        <v>12000</v>
      </c>
      <c r="P281" s="197"/>
    </row>
    <row r="282" spans="2:16" s="49" customFormat="1" ht="12.75">
      <c r="B282" s="24"/>
      <c r="C282" s="27"/>
      <c r="D282" s="27">
        <v>4280</v>
      </c>
      <c r="E282" s="28" t="s">
        <v>64</v>
      </c>
      <c r="F282" s="42">
        <v>1000</v>
      </c>
      <c r="G282" s="365"/>
      <c r="H282" s="82"/>
      <c r="I282" s="82"/>
      <c r="J282" s="82"/>
      <c r="K282" s="82"/>
      <c r="L282" s="82"/>
      <c r="M282" s="82"/>
      <c r="N282" s="82"/>
      <c r="O282" s="128">
        <f t="shared" si="59"/>
        <v>1000</v>
      </c>
      <c r="P282" s="197"/>
    </row>
    <row r="283" spans="2:16" s="49" customFormat="1" ht="12.75">
      <c r="B283" s="24"/>
      <c r="C283" s="27"/>
      <c r="D283" s="27">
        <v>4300</v>
      </c>
      <c r="E283" s="28" t="s">
        <v>41</v>
      </c>
      <c r="F283" s="42">
        <v>12100</v>
      </c>
      <c r="G283" s="365"/>
      <c r="H283" s="82"/>
      <c r="I283" s="82"/>
      <c r="J283" s="82"/>
      <c r="K283" s="82"/>
      <c r="L283" s="82"/>
      <c r="M283" s="82"/>
      <c r="N283" s="82"/>
      <c r="O283" s="128">
        <f t="shared" si="59"/>
        <v>12100</v>
      </c>
      <c r="P283" s="197"/>
    </row>
    <row r="284" spans="2:16" s="49" customFormat="1" ht="12.75">
      <c r="B284" s="24"/>
      <c r="C284" s="27"/>
      <c r="D284" s="27">
        <v>4350</v>
      </c>
      <c r="E284" s="28" t="s">
        <v>65</v>
      </c>
      <c r="F284" s="42">
        <v>1500</v>
      </c>
      <c r="G284" s="365"/>
      <c r="H284" s="82"/>
      <c r="I284" s="82"/>
      <c r="J284" s="82"/>
      <c r="K284" s="82"/>
      <c r="L284" s="82"/>
      <c r="M284" s="82"/>
      <c r="N284" s="82"/>
      <c r="O284" s="128">
        <f t="shared" si="59"/>
        <v>1500</v>
      </c>
      <c r="P284" s="197"/>
    </row>
    <row r="285" spans="2:16" s="49" customFormat="1" ht="28.5" customHeight="1">
      <c r="B285" s="24"/>
      <c r="C285" s="27"/>
      <c r="D285" s="27">
        <v>4370</v>
      </c>
      <c r="E285" s="28" t="s">
        <v>67</v>
      </c>
      <c r="F285" s="42">
        <v>8400</v>
      </c>
      <c r="G285" s="365"/>
      <c r="H285" s="82"/>
      <c r="I285" s="82"/>
      <c r="J285" s="82"/>
      <c r="K285" s="82"/>
      <c r="L285" s="82"/>
      <c r="M285" s="82"/>
      <c r="N285" s="82"/>
      <c r="O285" s="128">
        <f t="shared" si="59"/>
        <v>8400</v>
      </c>
      <c r="P285" s="197"/>
    </row>
    <row r="286" spans="2:16" s="49" customFormat="1" ht="28.5" customHeight="1">
      <c r="B286" s="24"/>
      <c r="C286" s="27"/>
      <c r="D286" s="27">
        <v>4400</v>
      </c>
      <c r="E286" s="28" t="s">
        <v>213</v>
      </c>
      <c r="F286" s="42">
        <v>10200</v>
      </c>
      <c r="G286" s="365"/>
      <c r="H286" s="82"/>
      <c r="I286" s="82"/>
      <c r="J286" s="82"/>
      <c r="K286" s="82"/>
      <c r="L286" s="82"/>
      <c r="M286" s="82"/>
      <c r="N286" s="82"/>
      <c r="O286" s="128">
        <f t="shared" si="59"/>
        <v>10200</v>
      </c>
      <c r="P286" s="197"/>
    </row>
    <row r="287" spans="2:16" s="49" customFormat="1" ht="12.75">
      <c r="B287" s="24"/>
      <c r="C287" s="27"/>
      <c r="D287" s="27">
        <v>4410</v>
      </c>
      <c r="E287" s="28" t="s">
        <v>60</v>
      </c>
      <c r="F287" s="42">
        <v>11900</v>
      </c>
      <c r="G287" s="365"/>
      <c r="H287" s="82"/>
      <c r="I287" s="82"/>
      <c r="J287" s="82"/>
      <c r="K287" s="82"/>
      <c r="L287" s="82"/>
      <c r="M287" s="82"/>
      <c r="N287" s="82"/>
      <c r="O287" s="128">
        <f t="shared" si="59"/>
        <v>11900</v>
      </c>
      <c r="P287" s="197"/>
    </row>
    <row r="288" spans="2:16" s="49" customFormat="1" ht="12.75">
      <c r="B288" s="24"/>
      <c r="C288" s="27"/>
      <c r="D288" s="27">
        <v>4430</v>
      </c>
      <c r="E288" s="28" t="s">
        <v>46</v>
      </c>
      <c r="F288" s="42">
        <v>1000</v>
      </c>
      <c r="G288" s="365"/>
      <c r="H288" s="82"/>
      <c r="I288" s="82"/>
      <c r="J288" s="82"/>
      <c r="K288" s="82"/>
      <c r="L288" s="82"/>
      <c r="M288" s="82"/>
      <c r="N288" s="82"/>
      <c r="O288" s="128">
        <f t="shared" si="59"/>
        <v>1000</v>
      </c>
      <c r="P288" s="197"/>
    </row>
    <row r="289" spans="2:16" s="49" customFormat="1" ht="28.5" customHeight="1">
      <c r="B289" s="24"/>
      <c r="C289" s="27"/>
      <c r="D289" s="27">
        <v>4440</v>
      </c>
      <c r="E289" s="28" t="s">
        <v>68</v>
      </c>
      <c r="F289" s="42">
        <v>11167</v>
      </c>
      <c r="G289" s="365"/>
      <c r="H289" s="82"/>
      <c r="I289" s="82"/>
      <c r="J289" s="82"/>
      <c r="K289" s="82"/>
      <c r="L289" s="82"/>
      <c r="M289" s="82"/>
      <c r="N289" s="82"/>
      <c r="O289" s="128">
        <f t="shared" si="59"/>
        <v>11167</v>
      </c>
      <c r="P289" s="197"/>
    </row>
    <row r="290" spans="2:16" s="49" customFormat="1" ht="25.5">
      <c r="B290" s="24"/>
      <c r="C290" s="27"/>
      <c r="D290" s="27">
        <v>4700</v>
      </c>
      <c r="E290" s="28" t="s">
        <v>200</v>
      </c>
      <c r="F290" s="42">
        <v>4000</v>
      </c>
      <c r="G290" s="365"/>
      <c r="H290" s="82"/>
      <c r="I290" s="82"/>
      <c r="J290" s="82"/>
      <c r="K290" s="82"/>
      <c r="L290" s="82"/>
      <c r="M290" s="82"/>
      <c r="N290" s="82"/>
      <c r="O290" s="128">
        <f t="shared" si="59"/>
        <v>4000</v>
      </c>
      <c r="P290" s="197"/>
    </row>
    <row r="291" spans="2:16" s="49" customFormat="1" ht="38.25">
      <c r="B291" s="24"/>
      <c r="C291" s="27"/>
      <c r="D291" s="27">
        <v>4740</v>
      </c>
      <c r="E291" s="28" t="s">
        <v>69</v>
      </c>
      <c r="F291" s="42">
        <v>3000</v>
      </c>
      <c r="G291" s="365"/>
      <c r="H291" s="82"/>
      <c r="I291" s="82"/>
      <c r="J291" s="82"/>
      <c r="K291" s="82"/>
      <c r="L291" s="82"/>
      <c r="M291" s="82"/>
      <c r="N291" s="82"/>
      <c r="O291" s="128">
        <f t="shared" si="59"/>
        <v>3000</v>
      </c>
      <c r="P291" s="197"/>
    </row>
    <row r="292" spans="2:16" s="49" customFormat="1" ht="25.5">
      <c r="B292" s="24"/>
      <c r="C292" s="27"/>
      <c r="D292" s="27">
        <v>4750</v>
      </c>
      <c r="E292" s="28" t="s">
        <v>70</v>
      </c>
      <c r="F292" s="42">
        <v>7000</v>
      </c>
      <c r="G292" s="365"/>
      <c r="H292" s="82"/>
      <c r="I292" s="82"/>
      <c r="J292" s="82"/>
      <c r="K292" s="82"/>
      <c r="L292" s="82"/>
      <c r="M292" s="82"/>
      <c r="N292" s="82"/>
      <c r="O292" s="128">
        <f t="shared" si="59"/>
        <v>7000</v>
      </c>
      <c r="P292" s="197"/>
    </row>
    <row r="293" spans="2:16" s="49" customFormat="1" ht="28.5" customHeight="1">
      <c r="B293" s="24"/>
      <c r="C293" s="27"/>
      <c r="D293" s="27">
        <v>6060</v>
      </c>
      <c r="E293" s="28" t="s">
        <v>55</v>
      </c>
      <c r="F293" s="42"/>
      <c r="G293" s="365"/>
      <c r="H293" s="82"/>
      <c r="I293" s="82"/>
      <c r="J293" s="82"/>
      <c r="K293" s="82"/>
      <c r="L293" s="82"/>
      <c r="M293" s="82"/>
      <c r="N293" s="82"/>
      <c r="O293" s="128">
        <f t="shared" si="59"/>
        <v>0</v>
      </c>
      <c r="P293" s="197"/>
    </row>
    <row r="294" spans="2:16" s="49" customFormat="1" ht="25.5">
      <c r="B294" s="24"/>
      <c r="C294" s="14">
        <v>85228</v>
      </c>
      <c r="D294" s="14"/>
      <c r="E294" s="17" t="s">
        <v>175</v>
      </c>
      <c r="F294" s="57">
        <f>SUM(F295:F297)</f>
        <v>18700</v>
      </c>
      <c r="G294" s="222">
        <f>G297</f>
        <v>0</v>
      </c>
      <c r="H294" s="58">
        <f aca="true" t="shared" si="60" ref="H294:N294">H297</f>
        <v>0</v>
      </c>
      <c r="I294" s="58">
        <f t="shared" si="60"/>
        <v>0</v>
      </c>
      <c r="J294" s="58">
        <f t="shared" si="60"/>
        <v>0</v>
      </c>
      <c r="K294" s="58">
        <f t="shared" si="60"/>
        <v>0</v>
      </c>
      <c r="L294" s="58">
        <f t="shared" si="60"/>
        <v>0</v>
      </c>
      <c r="M294" s="58">
        <f t="shared" si="60"/>
        <v>0</v>
      </c>
      <c r="N294" s="58">
        <f t="shared" si="60"/>
        <v>0</v>
      </c>
      <c r="O294" s="160">
        <f>SUM(O295:O297)</f>
        <v>18700</v>
      </c>
      <c r="P294" s="215"/>
    </row>
    <row r="295" spans="2:16" s="49" customFormat="1" ht="12.75">
      <c r="B295" s="24"/>
      <c r="C295" s="14"/>
      <c r="D295" s="27">
        <v>4110</v>
      </c>
      <c r="E295" s="28" t="s">
        <v>58</v>
      </c>
      <c r="F295" s="42">
        <v>2500</v>
      </c>
      <c r="G295" s="222"/>
      <c r="H295" s="58"/>
      <c r="I295" s="58"/>
      <c r="J295" s="58"/>
      <c r="K295" s="58"/>
      <c r="L295" s="58"/>
      <c r="M295" s="58"/>
      <c r="N295" s="58"/>
      <c r="O295" s="128">
        <f>F295+G295+H295+I295+J295+K295+L295+M295+N295</f>
        <v>2500</v>
      </c>
      <c r="P295" s="215"/>
    </row>
    <row r="296" spans="2:16" s="49" customFormat="1" ht="12.75">
      <c r="B296" s="24"/>
      <c r="C296" s="14"/>
      <c r="D296" s="27">
        <v>4120</v>
      </c>
      <c r="E296" s="28" t="s">
        <v>174</v>
      </c>
      <c r="F296" s="42">
        <v>400</v>
      </c>
      <c r="G296" s="222"/>
      <c r="H296" s="58"/>
      <c r="I296" s="58"/>
      <c r="J296" s="58"/>
      <c r="K296" s="58"/>
      <c r="L296" s="58"/>
      <c r="M296" s="58"/>
      <c r="N296" s="58"/>
      <c r="O296" s="128">
        <f>F296+G296+H296+I296+J296+K296+L296+M296+N296</f>
        <v>400</v>
      </c>
      <c r="P296" s="215"/>
    </row>
    <row r="297" spans="2:16" s="49" customFormat="1" ht="12.75">
      <c r="B297" s="24"/>
      <c r="C297" s="27"/>
      <c r="D297" s="27">
        <v>4170</v>
      </c>
      <c r="E297" s="28" t="s">
        <v>63</v>
      </c>
      <c r="F297" s="42">
        <v>15800</v>
      </c>
      <c r="G297" s="365"/>
      <c r="H297" s="82"/>
      <c r="I297" s="82"/>
      <c r="J297" s="82"/>
      <c r="K297" s="82"/>
      <c r="L297" s="82"/>
      <c r="M297" s="82"/>
      <c r="N297" s="82"/>
      <c r="O297" s="128">
        <f>F297+G297+H297+I297+J297+K297+L297+M297+N297</f>
        <v>15800</v>
      </c>
      <c r="P297" s="197"/>
    </row>
    <row r="298" spans="2:16" s="49" customFormat="1" ht="12.75">
      <c r="B298" s="24"/>
      <c r="C298" s="14">
        <v>85295</v>
      </c>
      <c r="D298" s="14"/>
      <c r="E298" s="17" t="s">
        <v>34</v>
      </c>
      <c r="F298" s="57">
        <f>SUM(F299:F301)</f>
        <v>56000</v>
      </c>
      <c r="G298" s="222">
        <f>SUM(G299:G301)</f>
        <v>0</v>
      </c>
      <c r="H298" s="58">
        <f aca="true" t="shared" si="61" ref="H298:N298">SUM(H299:H301)</f>
        <v>0</v>
      </c>
      <c r="I298" s="58">
        <f t="shared" si="61"/>
        <v>0</v>
      </c>
      <c r="J298" s="58">
        <f t="shared" si="61"/>
        <v>0</v>
      </c>
      <c r="K298" s="58">
        <f t="shared" si="61"/>
        <v>0</v>
      </c>
      <c r="L298" s="58">
        <f t="shared" si="61"/>
        <v>0</v>
      </c>
      <c r="M298" s="58">
        <f t="shared" si="61"/>
        <v>0</v>
      </c>
      <c r="N298" s="58">
        <f t="shared" si="61"/>
        <v>0</v>
      </c>
      <c r="O298" s="160">
        <f>SUM(O299:O301)</f>
        <v>56000</v>
      </c>
      <c r="P298" s="215"/>
    </row>
    <row r="299" spans="2:16" s="49" customFormat="1" ht="12.75">
      <c r="B299" s="24"/>
      <c r="C299" s="14"/>
      <c r="D299" s="27">
        <v>3110</v>
      </c>
      <c r="E299" s="28" t="s">
        <v>169</v>
      </c>
      <c r="F299" s="62">
        <v>51000</v>
      </c>
      <c r="G299" s="442"/>
      <c r="H299" s="64"/>
      <c r="I299" s="64"/>
      <c r="J299" s="64"/>
      <c r="K299" s="64"/>
      <c r="L299" s="64"/>
      <c r="M299" s="64"/>
      <c r="N299" s="64"/>
      <c r="O299" s="128">
        <f>F299+G299+H299+I299+J299+K299+L299+M299+N299</f>
        <v>51000</v>
      </c>
      <c r="P299" s="197"/>
    </row>
    <row r="300" spans="2:16" s="49" customFormat="1" ht="12.75">
      <c r="B300" s="24"/>
      <c r="C300" s="14"/>
      <c r="D300" s="27">
        <v>4210</v>
      </c>
      <c r="E300" s="28" t="s">
        <v>39</v>
      </c>
      <c r="F300" s="62">
        <v>3000</v>
      </c>
      <c r="G300" s="442"/>
      <c r="H300" s="64"/>
      <c r="I300" s="64"/>
      <c r="J300" s="64"/>
      <c r="K300" s="64"/>
      <c r="L300" s="64"/>
      <c r="M300" s="64"/>
      <c r="N300" s="64"/>
      <c r="O300" s="128">
        <f>F300+G300+H300+I300+J300+K300+L300+M300+N300</f>
        <v>3000</v>
      </c>
      <c r="P300" s="197"/>
    </row>
    <row r="301" spans="2:16" s="49" customFormat="1" ht="12.75">
      <c r="B301" s="24"/>
      <c r="C301" s="14"/>
      <c r="D301" s="27">
        <v>4300</v>
      </c>
      <c r="E301" s="28" t="s">
        <v>41</v>
      </c>
      <c r="F301" s="62">
        <v>2000</v>
      </c>
      <c r="G301" s="442"/>
      <c r="H301" s="64"/>
      <c r="I301" s="64"/>
      <c r="J301" s="64"/>
      <c r="K301" s="64"/>
      <c r="L301" s="64"/>
      <c r="M301" s="64"/>
      <c r="N301" s="64"/>
      <c r="O301" s="128">
        <f>F301+G301+H301+I301+J301+K301+L301+M301+N301</f>
        <v>2000</v>
      </c>
      <c r="P301" s="197"/>
    </row>
    <row r="302" spans="2:16" s="49" customFormat="1" ht="12.75" hidden="1">
      <c r="B302" s="30">
        <v>854</v>
      </c>
      <c r="C302" s="31"/>
      <c r="D302" s="31"/>
      <c r="E302" s="32" t="s">
        <v>177</v>
      </c>
      <c r="F302" s="65">
        <f>F303</f>
        <v>24866</v>
      </c>
      <c r="G302" s="361">
        <f>G303</f>
        <v>0</v>
      </c>
      <c r="H302" s="66">
        <f aca="true" t="shared" si="62" ref="H302:N303">H303</f>
        <v>0</v>
      </c>
      <c r="I302" s="66">
        <f t="shared" si="62"/>
        <v>0</v>
      </c>
      <c r="J302" s="66">
        <f t="shared" si="62"/>
        <v>0</v>
      </c>
      <c r="K302" s="66">
        <f t="shared" si="62"/>
        <v>0</v>
      </c>
      <c r="L302" s="66">
        <f t="shared" si="62"/>
        <v>0</v>
      </c>
      <c r="M302" s="66">
        <f t="shared" si="62"/>
        <v>0</v>
      </c>
      <c r="N302" s="66">
        <f t="shared" si="62"/>
        <v>0</v>
      </c>
      <c r="O302" s="65">
        <f>O303</f>
        <v>24866</v>
      </c>
      <c r="P302" s="216"/>
    </row>
    <row r="303" spans="2:16" s="49" customFormat="1" ht="13.5" customHeight="1" hidden="1">
      <c r="B303" s="24"/>
      <c r="C303" s="14">
        <v>85415</v>
      </c>
      <c r="D303" s="129"/>
      <c r="E303" s="130" t="s">
        <v>178</v>
      </c>
      <c r="F303" s="57">
        <f>F304</f>
        <v>24866</v>
      </c>
      <c r="G303" s="222">
        <f>G304</f>
        <v>0</v>
      </c>
      <c r="H303" s="58">
        <f t="shared" si="62"/>
        <v>0</v>
      </c>
      <c r="I303" s="58">
        <f t="shared" si="62"/>
        <v>0</v>
      </c>
      <c r="J303" s="58">
        <f t="shared" si="62"/>
        <v>0</v>
      </c>
      <c r="K303" s="58">
        <f t="shared" si="62"/>
        <v>0</v>
      </c>
      <c r="L303" s="58">
        <f t="shared" si="62"/>
        <v>0</v>
      </c>
      <c r="M303" s="58">
        <f t="shared" si="62"/>
        <v>0</v>
      </c>
      <c r="N303" s="58">
        <f t="shared" si="62"/>
        <v>0</v>
      </c>
      <c r="O303" s="160">
        <f>O304</f>
        <v>24866</v>
      </c>
      <c r="P303" s="428"/>
    </row>
    <row r="304" spans="2:16" s="49" customFormat="1" ht="15" customHeight="1" hidden="1">
      <c r="B304" s="24"/>
      <c r="C304" s="14"/>
      <c r="D304" s="27">
        <v>3260</v>
      </c>
      <c r="E304" s="28" t="s">
        <v>192</v>
      </c>
      <c r="F304" s="62">
        <v>24866</v>
      </c>
      <c r="G304" s="442"/>
      <c r="H304" s="64"/>
      <c r="I304" s="64"/>
      <c r="J304" s="64"/>
      <c r="K304" s="64"/>
      <c r="L304" s="64"/>
      <c r="M304" s="64"/>
      <c r="N304" s="64"/>
      <c r="O304" s="128">
        <f>F304+G304+H304+I304+J304+K304+L304+M304+N304</f>
        <v>24866</v>
      </c>
      <c r="P304" s="428"/>
    </row>
    <row r="305" spans="2:16" s="49" customFormat="1" ht="28.5" customHeight="1" hidden="1">
      <c r="B305" s="30">
        <v>900</v>
      </c>
      <c r="C305" s="31"/>
      <c r="D305" s="31"/>
      <c r="E305" s="32" t="s">
        <v>35</v>
      </c>
      <c r="F305" s="65">
        <f>F306+F312</f>
        <v>726200</v>
      </c>
      <c r="G305" s="361">
        <f>G306+G312</f>
        <v>0</v>
      </c>
      <c r="H305" s="66">
        <f aca="true" t="shared" si="63" ref="H305:N305">H306+H312</f>
        <v>0</v>
      </c>
      <c r="I305" s="66">
        <f t="shared" si="63"/>
        <v>0</v>
      </c>
      <c r="J305" s="66">
        <f t="shared" si="63"/>
        <v>0</v>
      </c>
      <c r="K305" s="66">
        <f t="shared" si="63"/>
        <v>0</v>
      </c>
      <c r="L305" s="66">
        <f t="shared" si="63"/>
        <v>0</v>
      </c>
      <c r="M305" s="66">
        <f t="shared" si="63"/>
        <v>0</v>
      </c>
      <c r="N305" s="66">
        <f t="shared" si="63"/>
        <v>0</v>
      </c>
      <c r="O305" s="65">
        <f>O306+O312</f>
        <v>726200</v>
      </c>
      <c r="P305" s="216"/>
    </row>
    <row r="306" spans="2:16" s="49" customFormat="1" ht="12.75" hidden="1">
      <c r="B306" s="24"/>
      <c r="C306" s="14">
        <v>90015</v>
      </c>
      <c r="D306" s="14"/>
      <c r="E306" s="17" t="s">
        <v>78</v>
      </c>
      <c r="F306" s="57">
        <f>SUM(F307:F311)</f>
        <v>411000</v>
      </c>
      <c r="G306" s="222">
        <f>SUM(G307:G311)</f>
        <v>0</v>
      </c>
      <c r="H306" s="58">
        <f aca="true" t="shared" si="64" ref="H306:N306">SUM(H307:H311)</f>
        <v>0</v>
      </c>
      <c r="I306" s="58">
        <f t="shared" si="64"/>
        <v>0</v>
      </c>
      <c r="J306" s="58">
        <f t="shared" si="64"/>
        <v>0</v>
      </c>
      <c r="K306" s="58">
        <f t="shared" si="64"/>
        <v>0</v>
      </c>
      <c r="L306" s="58">
        <f t="shared" si="64"/>
        <v>0</v>
      </c>
      <c r="M306" s="58">
        <f t="shared" si="64"/>
        <v>0</v>
      </c>
      <c r="N306" s="58">
        <f t="shared" si="64"/>
        <v>0</v>
      </c>
      <c r="O306" s="160">
        <f>SUM(O307:O311)</f>
        <v>411000</v>
      </c>
      <c r="P306" s="215"/>
    </row>
    <row r="307" spans="2:16" s="49" customFormat="1" ht="12.75" hidden="1">
      <c r="B307" s="24"/>
      <c r="C307" s="27"/>
      <c r="D307" s="27">
        <v>4210</v>
      </c>
      <c r="E307" s="28" t="s">
        <v>39</v>
      </c>
      <c r="F307" s="42">
        <v>6000</v>
      </c>
      <c r="G307" s="365"/>
      <c r="H307" s="82"/>
      <c r="I307" s="82"/>
      <c r="J307" s="82"/>
      <c r="K307" s="82"/>
      <c r="L307" s="82"/>
      <c r="M307" s="82"/>
      <c r="N307" s="82"/>
      <c r="O307" s="128">
        <f>F307+G307+H307+I307+J307+K307+L307+M307+N307</f>
        <v>6000</v>
      </c>
      <c r="P307" s="197"/>
    </row>
    <row r="308" spans="2:16" s="49" customFormat="1" ht="17.25" customHeight="1" hidden="1">
      <c r="B308" s="24"/>
      <c r="C308" s="27"/>
      <c r="D308" s="27">
        <v>4260</v>
      </c>
      <c r="E308" s="28" t="s">
        <v>59</v>
      </c>
      <c r="F308" s="42">
        <v>150000</v>
      </c>
      <c r="G308" s="365"/>
      <c r="H308" s="82"/>
      <c r="I308" s="82"/>
      <c r="J308" s="82"/>
      <c r="K308" s="82"/>
      <c r="L308" s="82"/>
      <c r="M308" s="82"/>
      <c r="N308" s="82"/>
      <c r="O308" s="128">
        <f>F308+G308+H308+I308+J308+K308+L308+M308+N308</f>
        <v>150000</v>
      </c>
      <c r="P308" s="197"/>
    </row>
    <row r="309" spans="2:16" s="49" customFormat="1" ht="12.75" hidden="1">
      <c r="B309" s="24"/>
      <c r="C309" s="27"/>
      <c r="D309" s="27">
        <v>4270</v>
      </c>
      <c r="E309" s="28" t="s">
        <v>71</v>
      </c>
      <c r="F309" s="42">
        <v>200000</v>
      </c>
      <c r="G309" s="365"/>
      <c r="H309" s="82"/>
      <c r="I309" s="82"/>
      <c r="J309" s="82"/>
      <c r="K309" s="82"/>
      <c r="L309" s="82"/>
      <c r="M309" s="82"/>
      <c r="N309" s="82"/>
      <c r="O309" s="128">
        <f>F309+G309+H309+I309+J309+K309+L309+M309+N309</f>
        <v>200000</v>
      </c>
      <c r="P309" s="197"/>
    </row>
    <row r="310" spans="2:16" s="49" customFormat="1" ht="16.5" customHeight="1" hidden="1">
      <c r="B310" s="24"/>
      <c r="C310" s="27"/>
      <c r="D310" s="27">
        <v>4300</v>
      </c>
      <c r="E310" s="28" t="s">
        <v>41</v>
      </c>
      <c r="F310" s="42"/>
      <c r="G310" s="365"/>
      <c r="H310" s="82"/>
      <c r="I310" s="82"/>
      <c r="J310" s="82"/>
      <c r="K310" s="82"/>
      <c r="L310" s="82"/>
      <c r="M310" s="82"/>
      <c r="N310" s="82"/>
      <c r="O310" s="128">
        <f>F310+G310+H310+I310+J310+K310+L310+M310+N310</f>
        <v>0</v>
      </c>
      <c r="P310" s="197"/>
    </row>
    <row r="311" spans="2:16" s="49" customFormat="1" ht="50.25" customHeight="1" hidden="1">
      <c r="B311" s="24"/>
      <c r="C311" s="27"/>
      <c r="D311" s="27">
        <v>6050</v>
      </c>
      <c r="E311" s="28" t="s">
        <v>44</v>
      </c>
      <c r="F311" s="42">
        <f>30000+25000</f>
        <v>55000</v>
      </c>
      <c r="G311" s="365"/>
      <c r="H311" s="82"/>
      <c r="I311" s="82"/>
      <c r="J311" s="82"/>
      <c r="K311" s="82"/>
      <c r="L311" s="82"/>
      <c r="M311" s="82"/>
      <c r="N311" s="82"/>
      <c r="O311" s="128">
        <f>F311+G311+H311+I311+J311+K311+L311+M311+N311</f>
        <v>55000</v>
      </c>
      <c r="P311" s="197"/>
    </row>
    <row r="312" spans="2:16" s="49" customFormat="1" ht="12.75" hidden="1">
      <c r="B312" s="24"/>
      <c r="C312" s="14">
        <v>90095</v>
      </c>
      <c r="D312" s="14"/>
      <c r="E312" s="17" t="s">
        <v>34</v>
      </c>
      <c r="F312" s="57">
        <f>SUM(F313:F319)</f>
        <v>315200</v>
      </c>
      <c r="G312" s="222">
        <f>SUM(G313:G319)</f>
        <v>0</v>
      </c>
      <c r="H312" s="58">
        <f aca="true" t="shared" si="65" ref="H312:N312">SUM(H313:H319)</f>
        <v>0</v>
      </c>
      <c r="I312" s="58">
        <f t="shared" si="65"/>
        <v>0</v>
      </c>
      <c r="J312" s="58">
        <f t="shared" si="65"/>
        <v>0</v>
      </c>
      <c r="K312" s="58">
        <f t="shared" si="65"/>
        <v>0</v>
      </c>
      <c r="L312" s="58">
        <f t="shared" si="65"/>
        <v>0</v>
      </c>
      <c r="M312" s="58">
        <f t="shared" si="65"/>
        <v>0</v>
      </c>
      <c r="N312" s="58">
        <f t="shared" si="65"/>
        <v>0</v>
      </c>
      <c r="O312" s="160">
        <f>SUM(O313:O319)</f>
        <v>315200</v>
      </c>
      <c r="P312" s="215"/>
    </row>
    <row r="313" spans="2:16" s="49" customFormat="1" ht="12.75" hidden="1">
      <c r="B313" s="24"/>
      <c r="C313" s="14"/>
      <c r="D313" s="27">
        <v>4170</v>
      </c>
      <c r="E313" s="28" t="s">
        <v>10</v>
      </c>
      <c r="F313" s="42">
        <v>25000</v>
      </c>
      <c r="G313" s="365"/>
      <c r="H313" s="82"/>
      <c r="I313" s="82"/>
      <c r="J313" s="82"/>
      <c r="K313" s="82"/>
      <c r="L313" s="82"/>
      <c r="M313" s="82"/>
      <c r="N313" s="82"/>
      <c r="O313" s="128">
        <f aca="true" t="shared" si="66" ref="O313:O319">F313+G313+H313+I313+J313+K313+L313+M313+N313</f>
        <v>25000</v>
      </c>
      <c r="P313" s="197"/>
    </row>
    <row r="314" spans="2:16" s="49" customFormat="1" ht="12.75" hidden="1">
      <c r="B314" s="24"/>
      <c r="C314" s="14"/>
      <c r="D314" s="27">
        <v>4210</v>
      </c>
      <c r="E314" s="28" t="s">
        <v>39</v>
      </c>
      <c r="F314" s="42">
        <f>3000+2000</f>
        <v>5000</v>
      </c>
      <c r="G314" s="365"/>
      <c r="H314" s="82"/>
      <c r="I314" s="82"/>
      <c r="J314" s="82"/>
      <c r="K314" s="82"/>
      <c r="L314" s="82"/>
      <c r="M314" s="82"/>
      <c r="N314" s="82"/>
      <c r="O314" s="128">
        <f t="shared" si="66"/>
        <v>5000</v>
      </c>
      <c r="P314" s="197"/>
    </row>
    <row r="315" spans="2:16" s="49" customFormat="1" ht="15" customHeight="1" hidden="1">
      <c r="B315" s="24"/>
      <c r="C315" s="27"/>
      <c r="D315" s="27">
        <v>4260</v>
      </c>
      <c r="E315" s="28" t="s">
        <v>59</v>
      </c>
      <c r="F315" s="42">
        <v>2200</v>
      </c>
      <c r="G315" s="365"/>
      <c r="H315" s="82"/>
      <c r="I315" s="82"/>
      <c r="J315" s="82"/>
      <c r="K315" s="82"/>
      <c r="L315" s="82"/>
      <c r="M315" s="82"/>
      <c r="N315" s="82"/>
      <c r="O315" s="128">
        <f t="shared" si="66"/>
        <v>2200</v>
      </c>
      <c r="P315" s="197"/>
    </row>
    <row r="316" spans="2:16" s="49" customFormat="1" ht="15.75" customHeight="1" hidden="1">
      <c r="B316" s="24"/>
      <c r="C316" s="27"/>
      <c r="D316" s="27">
        <v>4270</v>
      </c>
      <c r="E316" s="28" t="s">
        <v>71</v>
      </c>
      <c r="F316" s="42">
        <v>2000</v>
      </c>
      <c r="G316" s="365"/>
      <c r="H316" s="82"/>
      <c r="I316" s="82"/>
      <c r="J316" s="82"/>
      <c r="K316" s="82"/>
      <c r="L316" s="82"/>
      <c r="M316" s="82"/>
      <c r="N316" s="82"/>
      <c r="O316" s="128">
        <f t="shared" si="66"/>
        <v>2000</v>
      </c>
      <c r="P316" s="197"/>
    </row>
    <row r="317" spans="2:16" s="49" customFormat="1" ht="14.25" customHeight="1" hidden="1">
      <c r="B317" s="24"/>
      <c r="C317" s="27"/>
      <c r="D317" s="27">
        <v>4300</v>
      </c>
      <c r="E317" s="28" t="s">
        <v>41</v>
      </c>
      <c r="F317" s="42">
        <v>69000</v>
      </c>
      <c r="G317" s="365"/>
      <c r="H317" s="82"/>
      <c r="I317" s="82"/>
      <c r="J317" s="82"/>
      <c r="K317" s="82"/>
      <c r="L317" s="82"/>
      <c r="M317" s="82"/>
      <c r="N317" s="82"/>
      <c r="O317" s="128">
        <f t="shared" si="66"/>
        <v>69000</v>
      </c>
      <c r="P317" s="197"/>
    </row>
    <row r="318" spans="2:16" s="49" customFormat="1" ht="12.75" hidden="1">
      <c r="B318" s="24"/>
      <c r="C318" s="27"/>
      <c r="D318" s="27">
        <v>4430</v>
      </c>
      <c r="E318" s="28" t="s">
        <v>46</v>
      </c>
      <c r="F318" s="42">
        <v>12000</v>
      </c>
      <c r="G318" s="365"/>
      <c r="H318" s="82"/>
      <c r="I318" s="82"/>
      <c r="J318" s="82"/>
      <c r="K318" s="82"/>
      <c r="L318" s="82"/>
      <c r="M318" s="82"/>
      <c r="N318" s="82"/>
      <c r="O318" s="128">
        <f t="shared" si="66"/>
        <v>12000</v>
      </c>
      <c r="P318" s="197"/>
    </row>
    <row r="319" spans="2:16" s="49" customFormat="1" ht="25.5" customHeight="1" hidden="1">
      <c r="B319" s="24"/>
      <c r="C319" s="27"/>
      <c r="D319" s="27">
        <v>6050</v>
      </c>
      <c r="E319" s="28" t="s">
        <v>44</v>
      </c>
      <c r="F319" s="42">
        <v>200000</v>
      </c>
      <c r="G319" s="365"/>
      <c r="H319" s="82"/>
      <c r="I319" s="82"/>
      <c r="J319" s="82"/>
      <c r="K319" s="82"/>
      <c r="L319" s="82"/>
      <c r="M319" s="82"/>
      <c r="N319" s="82"/>
      <c r="O319" s="128">
        <f t="shared" si="66"/>
        <v>200000</v>
      </c>
      <c r="P319" s="197"/>
    </row>
    <row r="320" spans="2:16" s="49" customFormat="1" ht="28.5" customHeight="1" hidden="1">
      <c r="B320" s="30">
        <v>921</v>
      </c>
      <c r="C320" s="31"/>
      <c r="D320" s="31"/>
      <c r="E320" s="32" t="s">
        <v>179</v>
      </c>
      <c r="F320" s="65">
        <f>F321+F323</f>
        <v>527200</v>
      </c>
      <c r="G320" s="361">
        <f>G321+G323</f>
        <v>0</v>
      </c>
      <c r="H320" s="66">
        <f aca="true" t="shared" si="67" ref="H320:N320">H321+H323</f>
        <v>0</v>
      </c>
      <c r="I320" s="66">
        <f t="shared" si="67"/>
        <v>0</v>
      </c>
      <c r="J320" s="66">
        <f t="shared" si="67"/>
        <v>0</v>
      </c>
      <c r="K320" s="66">
        <f t="shared" si="67"/>
        <v>0</v>
      </c>
      <c r="L320" s="66">
        <f t="shared" si="67"/>
        <v>0</v>
      </c>
      <c r="M320" s="66">
        <f t="shared" si="67"/>
        <v>0</v>
      </c>
      <c r="N320" s="66">
        <f t="shared" si="67"/>
        <v>0</v>
      </c>
      <c r="O320" s="65">
        <f>O321+O323</f>
        <v>527200</v>
      </c>
      <c r="P320" s="216"/>
    </row>
    <row r="321" spans="2:16" s="49" customFormat="1" ht="18.75" customHeight="1" hidden="1">
      <c r="B321" s="24"/>
      <c r="C321" s="14">
        <v>92109</v>
      </c>
      <c r="D321" s="14"/>
      <c r="E321" s="17" t="s">
        <v>11</v>
      </c>
      <c r="F321" s="57">
        <f aca="true" t="shared" si="68" ref="F321:N321">SUM(F322:F322)</f>
        <v>227200</v>
      </c>
      <c r="G321" s="222">
        <f t="shared" si="68"/>
        <v>0</v>
      </c>
      <c r="H321" s="58">
        <f t="shared" si="68"/>
        <v>0</v>
      </c>
      <c r="I321" s="58">
        <f t="shared" si="68"/>
        <v>0</v>
      </c>
      <c r="J321" s="58">
        <f t="shared" si="68"/>
        <v>0</v>
      </c>
      <c r="K321" s="58">
        <f t="shared" si="68"/>
        <v>0</v>
      </c>
      <c r="L321" s="58">
        <f t="shared" si="68"/>
        <v>0</v>
      </c>
      <c r="M321" s="58">
        <f t="shared" si="68"/>
        <v>0</v>
      </c>
      <c r="N321" s="58">
        <f t="shared" si="68"/>
        <v>0</v>
      </c>
      <c r="O321" s="160">
        <f>SUM(O322:O322)</f>
        <v>227200</v>
      </c>
      <c r="P321" s="215"/>
    </row>
    <row r="322" spans="2:16" s="49" customFormat="1" ht="25.5" hidden="1">
      <c r="B322" s="24"/>
      <c r="C322" s="27"/>
      <c r="D322" s="27">
        <v>2480</v>
      </c>
      <c r="E322" s="28" t="s">
        <v>12</v>
      </c>
      <c r="F322" s="42">
        <v>227200</v>
      </c>
      <c r="G322" s="365"/>
      <c r="H322" s="82"/>
      <c r="I322" s="82"/>
      <c r="J322" s="82"/>
      <c r="K322" s="82"/>
      <c r="L322" s="82"/>
      <c r="M322" s="82"/>
      <c r="N322" s="82"/>
      <c r="O322" s="128">
        <f>F322+G322+H322+I322+J322+K322+L322+M322+N322</f>
        <v>227200</v>
      </c>
      <c r="P322" s="197"/>
    </row>
    <row r="323" spans="2:16" s="49" customFormat="1" ht="12.75" hidden="1">
      <c r="B323" s="24"/>
      <c r="C323" s="14">
        <v>92116</v>
      </c>
      <c r="D323" s="14"/>
      <c r="E323" s="17" t="s">
        <v>180</v>
      </c>
      <c r="F323" s="57">
        <f aca="true" t="shared" si="69" ref="F323:N323">SUM(F324:F324)</f>
        <v>300000</v>
      </c>
      <c r="G323" s="222">
        <f t="shared" si="69"/>
        <v>0</v>
      </c>
      <c r="H323" s="58">
        <f t="shared" si="69"/>
        <v>0</v>
      </c>
      <c r="I323" s="58">
        <f t="shared" si="69"/>
        <v>0</v>
      </c>
      <c r="J323" s="58">
        <f t="shared" si="69"/>
        <v>0</v>
      </c>
      <c r="K323" s="58">
        <f t="shared" si="69"/>
        <v>0</v>
      </c>
      <c r="L323" s="58">
        <f t="shared" si="69"/>
        <v>0</v>
      </c>
      <c r="M323" s="58">
        <f t="shared" si="69"/>
        <v>0</v>
      </c>
      <c r="N323" s="58">
        <f t="shared" si="69"/>
        <v>0</v>
      </c>
      <c r="O323" s="160">
        <f>SUM(O324:O324)</f>
        <v>300000</v>
      </c>
      <c r="P323" s="215"/>
    </row>
    <row r="324" spans="2:16" s="49" customFormat="1" ht="25.5" hidden="1">
      <c r="B324" s="24"/>
      <c r="C324" s="27"/>
      <c r="D324" s="27">
        <v>2480</v>
      </c>
      <c r="E324" s="28" t="s">
        <v>12</v>
      </c>
      <c r="F324" s="42">
        <v>300000</v>
      </c>
      <c r="G324" s="365"/>
      <c r="H324" s="82"/>
      <c r="I324" s="82"/>
      <c r="J324" s="82"/>
      <c r="K324" s="82"/>
      <c r="L324" s="82"/>
      <c r="M324" s="82"/>
      <c r="N324" s="82"/>
      <c r="O324" s="128">
        <f>F324+G324+H324+I324+J324+K324+L324+M324+N324</f>
        <v>300000</v>
      </c>
      <c r="P324" s="197"/>
    </row>
    <row r="325" spans="2:16" s="49" customFormat="1" ht="12.75">
      <c r="B325" s="30">
        <v>926</v>
      </c>
      <c r="C325" s="31"/>
      <c r="D325" s="31"/>
      <c r="E325" s="32" t="s">
        <v>13</v>
      </c>
      <c r="F325" s="65">
        <f>F328+F331</f>
        <v>1650632</v>
      </c>
      <c r="G325" s="361">
        <f>G326+G331</f>
        <v>0</v>
      </c>
      <c r="H325" s="66">
        <f aca="true" t="shared" si="70" ref="H325:N325">H328+H331</f>
        <v>0</v>
      </c>
      <c r="I325" s="66">
        <f t="shared" si="70"/>
        <v>0</v>
      </c>
      <c r="J325" s="66">
        <f t="shared" si="70"/>
        <v>0</v>
      </c>
      <c r="K325" s="66">
        <f t="shared" si="70"/>
        <v>0</v>
      </c>
      <c r="L325" s="66">
        <f t="shared" si="70"/>
        <v>0</v>
      </c>
      <c r="M325" s="66">
        <f t="shared" si="70"/>
        <v>0</v>
      </c>
      <c r="N325" s="66">
        <f t="shared" si="70"/>
        <v>0</v>
      </c>
      <c r="O325" s="65">
        <f>O328+O331</f>
        <v>167632</v>
      </c>
      <c r="P325" s="216"/>
    </row>
    <row r="326" spans="2:16" s="69" customFormat="1" ht="12.75">
      <c r="B326" s="33"/>
      <c r="C326" s="36">
        <v>92601</v>
      </c>
      <c r="D326" s="36"/>
      <c r="E326" s="130" t="s">
        <v>477</v>
      </c>
      <c r="F326" s="38">
        <v>0</v>
      </c>
      <c r="G326" s="362">
        <f>G327</f>
        <v>1483000</v>
      </c>
      <c r="H326" s="39"/>
      <c r="I326" s="39"/>
      <c r="J326" s="39"/>
      <c r="K326" s="39"/>
      <c r="L326" s="39"/>
      <c r="M326" s="39"/>
      <c r="N326" s="39"/>
      <c r="O326" s="160">
        <f>SUM(O327:O328)</f>
        <v>1513000</v>
      </c>
      <c r="P326" s="217"/>
    </row>
    <row r="327" spans="2:16" s="69" customFormat="1" ht="25.5">
      <c r="B327" s="33"/>
      <c r="C327" s="36"/>
      <c r="D327" s="27">
        <v>6050</v>
      </c>
      <c r="E327" s="28" t="s">
        <v>44</v>
      </c>
      <c r="F327" s="38"/>
      <c r="G327" s="441">
        <v>1483000</v>
      </c>
      <c r="H327" s="39"/>
      <c r="I327" s="39"/>
      <c r="J327" s="39"/>
      <c r="K327" s="39"/>
      <c r="L327" s="39"/>
      <c r="M327" s="39"/>
      <c r="N327" s="39"/>
      <c r="O327" s="128">
        <f>F327+G327+H327+I327+J327+K327+L327+M327+N327</f>
        <v>1483000</v>
      </c>
      <c r="P327" s="198" t="s">
        <v>488</v>
      </c>
    </row>
    <row r="328" spans="2:16" s="49" customFormat="1" ht="28.5" customHeight="1">
      <c r="B328" s="24"/>
      <c r="C328" s="14">
        <v>92605</v>
      </c>
      <c r="D328" s="14"/>
      <c r="E328" s="17" t="s">
        <v>14</v>
      </c>
      <c r="F328" s="57">
        <f>SUM(F329:F329)</f>
        <v>30000</v>
      </c>
      <c r="G328" s="222">
        <f>SUM(G329:G329)</f>
        <v>0</v>
      </c>
      <c r="H328" s="58">
        <f aca="true" t="shared" si="71" ref="H328:N328">SUM(H329:H329)</f>
        <v>0</v>
      </c>
      <c r="I328" s="58">
        <f>SUM(I329:I330)</f>
        <v>0</v>
      </c>
      <c r="J328" s="39">
        <f>SUM(J329:J330)</f>
        <v>0</v>
      </c>
      <c r="K328" s="58">
        <f t="shared" si="71"/>
        <v>0</v>
      </c>
      <c r="L328" s="58">
        <f t="shared" si="71"/>
        <v>0</v>
      </c>
      <c r="M328" s="58">
        <f t="shared" si="71"/>
        <v>0</v>
      </c>
      <c r="N328" s="58">
        <f t="shared" si="71"/>
        <v>0</v>
      </c>
      <c r="O328" s="160">
        <f>SUM(O329:O330)</f>
        <v>30000</v>
      </c>
      <c r="P328" s="215"/>
    </row>
    <row r="329" spans="2:16" s="49" customFormat="1" ht="38.25">
      <c r="B329" s="24"/>
      <c r="C329" s="14"/>
      <c r="D329" s="27">
        <v>2820</v>
      </c>
      <c r="E329" s="28" t="s">
        <v>193</v>
      </c>
      <c r="F329" s="62">
        <v>30000</v>
      </c>
      <c r="G329" s="442"/>
      <c r="H329" s="64"/>
      <c r="I329" s="64"/>
      <c r="J329" s="64"/>
      <c r="K329" s="64"/>
      <c r="L329" s="64"/>
      <c r="M329" s="64"/>
      <c r="N329" s="64"/>
      <c r="O329" s="128">
        <f>F329+G329+H329+I329+J329+K329+L329+M329+N329</f>
        <v>30000</v>
      </c>
      <c r="P329" s="218"/>
    </row>
    <row r="330" spans="2:16" s="49" customFormat="1" ht="12.75" customHeight="1">
      <c r="B330" s="24"/>
      <c r="C330" s="14"/>
      <c r="D330" s="27">
        <v>4270</v>
      </c>
      <c r="E330" s="28" t="s">
        <v>71</v>
      </c>
      <c r="F330" s="62"/>
      <c r="G330" s="442"/>
      <c r="H330" s="64"/>
      <c r="I330" s="64"/>
      <c r="J330" s="64"/>
      <c r="K330" s="64"/>
      <c r="L330" s="64"/>
      <c r="M330" s="64"/>
      <c r="N330" s="64"/>
      <c r="O330" s="128">
        <f>F330+G330+H330+I330+J330+K330+L330+M330+N330</f>
        <v>0</v>
      </c>
      <c r="P330" s="197"/>
    </row>
    <row r="331" spans="2:16" s="49" customFormat="1" ht="12.75">
      <c r="B331" s="24"/>
      <c r="C331" s="14">
        <v>92695</v>
      </c>
      <c r="D331" s="14"/>
      <c r="E331" s="17" t="s">
        <v>34</v>
      </c>
      <c r="F331" s="57">
        <f>SUM(F332:F339)</f>
        <v>1620632</v>
      </c>
      <c r="G331" s="242">
        <f>SUM(G332:G338)</f>
        <v>-1483000</v>
      </c>
      <c r="H331" s="58">
        <f aca="true" t="shared" si="72" ref="H331:N331">SUM(H332:H338)</f>
        <v>0</v>
      </c>
      <c r="I331" s="58">
        <f>SUM(I332:I339)</f>
        <v>0</v>
      </c>
      <c r="J331" s="58">
        <f t="shared" si="72"/>
        <v>0</v>
      </c>
      <c r="K331" s="58">
        <f t="shared" si="72"/>
        <v>0</v>
      </c>
      <c r="L331" s="58">
        <f t="shared" si="72"/>
        <v>0</v>
      </c>
      <c r="M331" s="58">
        <f t="shared" si="72"/>
        <v>0</v>
      </c>
      <c r="N331" s="58">
        <f t="shared" si="72"/>
        <v>0</v>
      </c>
      <c r="O331" s="160">
        <f>SUM(O332:O339)</f>
        <v>137632</v>
      </c>
      <c r="P331" s="215"/>
    </row>
    <row r="332" spans="2:16" s="49" customFormat="1" ht="12.75">
      <c r="B332" s="24"/>
      <c r="C332" s="27"/>
      <c r="D332" s="27">
        <v>4170</v>
      </c>
      <c r="E332" s="28" t="s">
        <v>63</v>
      </c>
      <c r="F332" s="42">
        <f>3120+832+3680+2000</f>
        <v>9632</v>
      </c>
      <c r="G332" s="365"/>
      <c r="H332" s="82"/>
      <c r="I332" s="82"/>
      <c r="J332" s="82"/>
      <c r="K332" s="82"/>
      <c r="L332" s="82"/>
      <c r="M332" s="82"/>
      <c r="N332" s="82"/>
      <c r="O332" s="128">
        <f aca="true" t="shared" si="73" ref="O332:O339">F332+G332+H332+I332+J332+K332+L332+M332+N332</f>
        <v>9632</v>
      </c>
      <c r="P332" s="197"/>
    </row>
    <row r="333" spans="2:16" s="49" customFormat="1" ht="12.75">
      <c r="B333" s="24"/>
      <c r="C333" s="27"/>
      <c r="D333" s="27">
        <v>4210</v>
      </c>
      <c r="E333" s="28" t="s">
        <v>39</v>
      </c>
      <c r="F333" s="42">
        <v>20000</v>
      </c>
      <c r="G333" s="365"/>
      <c r="H333" s="82"/>
      <c r="I333" s="82"/>
      <c r="J333" s="82"/>
      <c r="K333" s="82"/>
      <c r="L333" s="82"/>
      <c r="M333" s="82"/>
      <c r="N333" s="82"/>
      <c r="O333" s="128">
        <f t="shared" si="73"/>
        <v>20000</v>
      </c>
      <c r="P333" s="197"/>
    </row>
    <row r="334" spans="2:16" s="49" customFormat="1" ht="15.75" customHeight="1">
      <c r="B334" s="24"/>
      <c r="C334" s="27"/>
      <c r="D334" s="27">
        <v>4260</v>
      </c>
      <c r="E334" s="28" t="s">
        <v>59</v>
      </c>
      <c r="F334" s="42">
        <v>17000</v>
      </c>
      <c r="G334" s="365"/>
      <c r="H334" s="82"/>
      <c r="I334" s="82"/>
      <c r="J334" s="82"/>
      <c r="K334" s="82"/>
      <c r="L334" s="82"/>
      <c r="M334" s="82"/>
      <c r="N334" s="82"/>
      <c r="O334" s="128">
        <f t="shared" si="73"/>
        <v>17000</v>
      </c>
      <c r="P334" s="197"/>
    </row>
    <row r="335" spans="2:16" s="49" customFormat="1" ht="15.75" customHeight="1">
      <c r="B335" s="24"/>
      <c r="C335" s="27"/>
      <c r="D335" s="27">
        <v>4300</v>
      </c>
      <c r="E335" s="28" t="s">
        <v>41</v>
      </c>
      <c r="F335" s="42">
        <v>40000</v>
      </c>
      <c r="G335" s="365"/>
      <c r="H335" s="82"/>
      <c r="I335" s="82"/>
      <c r="J335" s="82"/>
      <c r="K335" s="82"/>
      <c r="L335" s="82"/>
      <c r="M335" s="82"/>
      <c r="N335" s="82"/>
      <c r="O335" s="128">
        <f t="shared" si="73"/>
        <v>40000</v>
      </c>
      <c r="P335" s="197"/>
    </row>
    <row r="336" spans="2:16" s="49" customFormat="1" ht="12.75" customHeight="1">
      <c r="B336" s="24"/>
      <c r="C336" s="27"/>
      <c r="D336" s="27">
        <v>4410</v>
      </c>
      <c r="E336" s="28" t="s">
        <v>60</v>
      </c>
      <c r="F336" s="42"/>
      <c r="G336" s="365"/>
      <c r="H336" s="82"/>
      <c r="I336" s="82"/>
      <c r="J336" s="82"/>
      <c r="K336" s="82"/>
      <c r="L336" s="82"/>
      <c r="M336" s="82"/>
      <c r="N336" s="82"/>
      <c r="O336" s="128">
        <f t="shared" si="73"/>
        <v>0</v>
      </c>
      <c r="P336" s="197"/>
    </row>
    <row r="337" spans="2:16" s="49" customFormat="1" ht="12.75">
      <c r="B337" s="24"/>
      <c r="C337" s="27"/>
      <c r="D337" s="27">
        <v>4430</v>
      </c>
      <c r="E337" s="28" t="s">
        <v>46</v>
      </c>
      <c r="F337" s="42">
        <v>1000</v>
      </c>
      <c r="G337" s="365"/>
      <c r="H337" s="82"/>
      <c r="I337" s="82"/>
      <c r="J337" s="82"/>
      <c r="K337" s="82"/>
      <c r="L337" s="82"/>
      <c r="M337" s="82"/>
      <c r="N337" s="82"/>
      <c r="O337" s="128">
        <f t="shared" si="73"/>
        <v>1000</v>
      </c>
      <c r="P337" s="197"/>
    </row>
    <row r="338" spans="2:16" s="49" customFormat="1" ht="25.5">
      <c r="B338" s="134"/>
      <c r="C338" s="199"/>
      <c r="D338" s="27">
        <v>6050</v>
      </c>
      <c r="E338" s="28" t="s">
        <v>44</v>
      </c>
      <c r="F338" s="42">
        <v>1533000</v>
      </c>
      <c r="G338" s="226">
        <v>-1483000</v>
      </c>
      <c r="H338" s="82"/>
      <c r="I338" s="82"/>
      <c r="J338" s="82"/>
      <c r="K338" s="82"/>
      <c r="L338" s="82"/>
      <c r="M338" s="82"/>
      <c r="N338" s="82"/>
      <c r="O338" s="128">
        <f t="shared" si="73"/>
        <v>50000</v>
      </c>
      <c r="P338" s="198" t="s">
        <v>480</v>
      </c>
    </row>
    <row r="339" spans="2:16" s="49" customFormat="1" ht="28.5" customHeight="1" hidden="1">
      <c r="B339" s="134"/>
      <c r="C339" s="199"/>
      <c r="D339" s="199">
        <v>6060</v>
      </c>
      <c r="E339" s="28" t="s">
        <v>55</v>
      </c>
      <c r="F339" s="208"/>
      <c r="G339" s="443"/>
      <c r="H339" s="209"/>
      <c r="I339" s="209"/>
      <c r="J339" s="209"/>
      <c r="K339" s="209"/>
      <c r="L339" s="209"/>
      <c r="M339" s="209"/>
      <c r="N339" s="209"/>
      <c r="O339" s="128">
        <f t="shared" si="73"/>
        <v>0</v>
      </c>
      <c r="P339" s="219"/>
    </row>
    <row r="340" spans="2:16" s="49" customFormat="1" ht="13.5" thickBot="1">
      <c r="B340" s="246"/>
      <c r="C340" s="247"/>
      <c r="D340" s="247"/>
      <c r="E340" s="248" t="s">
        <v>79</v>
      </c>
      <c r="F340" s="444"/>
      <c r="G340" s="444">
        <f>G5+G25+G33+G49+G59+G93+G96+G233+G254+G305+G320+G325+G41+G90+G84+G21+G302</f>
        <v>132574</v>
      </c>
      <c r="H340" s="249" t="e">
        <f>H5+H25+H33+#REF!+H49+H59+H93+H96+H233+H254+H305+H320+H325+H41+H90+H84+H21+H302</f>
        <v>#REF!</v>
      </c>
      <c r="I340" s="249" t="e">
        <f>I5+I25+I33+#REF!+I49+I59+I93+I96+I233+I254+I305+I320+I325+I41+I90+I84+I21+I302</f>
        <v>#REF!</v>
      </c>
      <c r="J340" s="250" t="e">
        <f>J5+J25+J33+#REF!+J49+J59+J93+J96+J233+J254+J305+J320+J325+J41+J90+J84+J21+J302</f>
        <v>#REF!</v>
      </c>
      <c r="K340" s="250" t="e">
        <f>K5+K25+K33+#REF!+K49+K59+K93+K96+K233+K254+K305+K320+K325+K41+K90+K84+K21+K302</f>
        <v>#REF!</v>
      </c>
      <c r="L340" s="163" t="e">
        <f>L5+L25+L33+#REF!+L49+L59+L93+L96+L233+L254+L305+L320+L325+L41+L90+L84+L21+L302</f>
        <v>#REF!</v>
      </c>
      <c r="M340" s="164" t="e">
        <f>M5+M25+M33+#REF!+M49+M59+M93+M96+M233+M254+M305+M320+M325+M41+M90+M84+M21+M302</f>
        <v>#REF!</v>
      </c>
      <c r="N340" s="163" t="e">
        <f>N5+N25+N33+#REF!+N49+N59+N93+N96+N233+N254+N305+N320+N325+N41+N90+N84+N21+N302</f>
        <v>#REF!</v>
      </c>
      <c r="O340" s="444"/>
      <c r="P340" s="251"/>
    </row>
    <row r="341" spans="5:16" s="49" customFormat="1" ht="41.25" customHeight="1">
      <c r="E341" s="91"/>
      <c r="F341" s="91"/>
      <c r="G341" s="445"/>
      <c r="H341" s="92">
        <f>'[1]Dochody zał.Nr 1'!H132-'[1]Wydatki zał.Nr 2'!J385</f>
        <v>333000</v>
      </c>
      <c r="I341" s="92">
        <f>'[1]Dochody zał.Nr 1'!I132-'[1]Wydatki zał.Nr 2'!K385</f>
        <v>0</v>
      </c>
      <c r="J341" s="92"/>
      <c r="K341" s="92">
        <f>'[1]Dochody zał.Nr 1'!K132-'[1]Wydatki zał.Nr 2'!M385</f>
        <v>0</v>
      </c>
      <c r="L341" s="91"/>
      <c r="M341" s="92"/>
      <c r="N341" s="92"/>
      <c r="O341" s="96"/>
      <c r="P341" s="200"/>
    </row>
    <row r="342" ht="28.5" customHeight="1">
      <c r="O342" s="153"/>
    </row>
    <row r="343" ht="28.5" customHeight="1">
      <c r="O343" s="153"/>
    </row>
    <row r="344" ht="28.5" customHeight="1">
      <c r="O344" s="153"/>
    </row>
    <row r="345" ht="28.5" customHeight="1">
      <c r="O345" s="153"/>
    </row>
    <row r="346" ht="28.5" customHeight="1">
      <c r="O346" s="153"/>
    </row>
    <row r="347" ht="28.5" customHeight="1">
      <c r="O347" s="153"/>
    </row>
    <row r="348" ht="28.5" customHeight="1">
      <c r="O348" s="153"/>
    </row>
    <row r="349" ht="28.5" customHeight="1">
      <c r="O349" s="153"/>
    </row>
    <row r="350" ht="28.5" customHeight="1">
      <c r="O350" s="153"/>
    </row>
    <row r="351" ht="28.5" customHeight="1">
      <c r="O351" s="153"/>
    </row>
    <row r="352" ht="28.5" customHeight="1">
      <c r="O352" s="153"/>
    </row>
    <row r="353" ht="28.5" customHeight="1">
      <c r="O353" s="153"/>
    </row>
    <row r="354" ht="28.5" customHeight="1">
      <c r="O354" s="153"/>
    </row>
    <row r="355" ht="28.5" customHeight="1">
      <c r="O355" s="153"/>
    </row>
    <row r="356" ht="28.5" customHeight="1">
      <c r="O356" s="153"/>
    </row>
    <row r="357" ht="28.5" customHeight="1">
      <c r="O357" s="153"/>
    </row>
    <row r="358" ht="28.5" customHeight="1">
      <c r="O358" s="153"/>
    </row>
    <row r="359" ht="28.5" customHeight="1">
      <c r="O359" s="153"/>
    </row>
    <row r="360" ht="28.5" customHeight="1">
      <c r="O360" s="153"/>
    </row>
    <row r="361" ht="28.5" customHeight="1">
      <c r="O361" s="153"/>
    </row>
    <row r="362" ht="28.5" customHeight="1">
      <c r="O362" s="153"/>
    </row>
    <row r="363" ht="28.5" customHeight="1">
      <c r="O363" s="153"/>
    </row>
    <row r="364" ht="28.5" customHeight="1">
      <c r="O364" s="153"/>
    </row>
    <row r="365" ht="28.5" customHeight="1">
      <c r="O365" s="153"/>
    </row>
    <row r="366" ht="28.5" customHeight="1">
      <c r="O366" s="153"/>
    </row>
    <row r="367" ht="28.5" customHeight="1">
      <c r="O367" s="153"/>
    </row>
    <row r="368" ht="28.5" customHeight="1">
      <c r="O368" s="153"/>
    </row>
    <row r="369" ht="28.5" customHeight="1">
      <c r="O369" s="153"/>
    </row>
    <row r="370" ht="28.5" customHeight="1">
      <c r="O370" s="153"/>
    </row>
    <row r="371" ht="28.5" customHeight="1">
      <c r="O371" s="153"/>
    </row>
    <row r="372" ht="28.5" customHeight="1">
      <c r="O372" s="153"/>
    </row>
    <row r="373" ht="28.5" customHeight="1">
      <c r="O373" s="153"/>
    </row>
    <row r="374" ht="28.5" customHeight="1">
      <c r="O374" s="153"/>
    </row>
    <row r="375" ht="28.5" customHeight="1">
      <c r="O375" s="153"/>
    </row>
    <row r="376" ht="28.5" customHeight="1">
      <c r="O376" s="153"/>
    </row>
    <row r="377" ht="28.5" customHeight="1">
      <c r="O377" s="153"/>
    </row>
    <row r="378" ht="28.5" customHeight="1">
      <c r="O378" s="153"/>
    </row>
    <row r="379" ht="28.5" customHeight="1">
      <c r="O379" s="153"/>
    </row>
    <row r="380" ht="28.5" customHeight="1">
      <c r="O380" s="153"/>
    </row>
  </sheetData>
  <sheetProtection/>
  <mergeCells count="2">
    <mergeCell ref="P18:P19"/>
    <mergeCell ref="P54:P58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zoomScale="150" zoomScaleNormal="150" zoomScalePageLayoutView="0" workbookViewId="0" topLeftCell="E32">
      <selection activeCell="E1" sqref="A1:IV16384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7.8515625" style="21" customWidth="1"/>
    <col min="4" max="4" width="31.7109375" style="21" customWidth="1"/>
    <col min="5" max="5" width="14.8515625" style="3" customWidth="1"/>
    <col min="6" max="9" width="10.8515625" style="256" hidden="1" customWidth="1"/>
    <col min="10" max="21" width="15.57421875" style="21" hidden="1" customWidth="1"/>
    <col min="22" max="22" width="7.8515625" style="21" customWidth="1"/>
    <col min="23" max="23" width="6.140625" style="21" customWidth="1"/>
    <col min="24" max="24" width="24.421875" style="21" customWidth="1"/>
    <col min="25" max="25" width="19.421875" style="21" customWidth="1"/>
    <col min="26" max="16384" width="9.140625" style="21" customWidth="1"/>
  </cols>
  <sheetData>
    <row r="1" spans="5:25" ht="12.75" customHeight="1">
      <c r="E1" s="252"/>
      <c r="F1" s="253"/>
      <c r="G1" s="253"/>
      <c r="H1" s="253"/>
      <c r="I1" s="253"/>
      <c r="J1" s="4"/>
      <c r="X1" s="412" t="s">
        <v>489</v>
      </c>
      <c r="Y1" s="412"/>
    </row>
    <row r="2" spans="6:25" ht="12.75">
      <c r="F2" s="254"/>
      <c r="G2" s="254"/>
      <c r="H2" s="254"/>
      <c r="I2" s="254"/>
      <c r="J2" s="255"/>
      <c r="X2" s="412"/>
      <c r="Y2" s="412"/>
    </row>
    <row r="3" spans="1:25" ht="15.75">
      <c r="A3" s="413" t="s">
        <v>251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</row>
    <row r="4" spans="1:25" ht="15.75">
      <c r="A4" s="413" t="s">
        <v>252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</row>
    <row r="5" spans="1:22" ht="13.5" thickBot="1">
      <c r="A5" s="19"/>
      <c r="B5" s="20"/>
      <c r="C5" s="20"/>
      <c r="V5" s="257"/>
    </row>
    <row r="6" spans="1:25" s="105" customFormat="1" ht="16.5" thickBot="1">
      <c r="A6" s="227" t="s">
        <v>15</v>
      </c>
      <c r="B6" s="227" t="s">
        <v>16</v>
      </c>
      <c r="C6" s="227" t="s">
        <v>17</v>
      </c>
      <c r="D6" s="227" t="s">
        <v>18</v>
      </c>
      <c r="E6" s="227" t="s">
        <v>253</v>
      </c>
      <c r="F6" s="258" t="s">
        <v>19</v>
      </c>
      <c r="G6" s="259"/>
      <c r="H6" s="260"/>
      <c r="I6" s="260"/>
      <c r="J6" s="227" t="s">
        <v>254</v>
      </c>
      <c r="K6" s="261" t="s">
        <v>255</v>
      </c>
      <c r="L6" s="261" t="s">
        <v>256</v>
      </c>
      <c r="M6" s="261" t="s">
        <v>257</v>
      </c>
      <c r="N6" s="261" t="s">
        <v>258</v>
      </c>
      <c r="O6" s="261" t="s">
        <v>259</v>
      </c>
      <c r="P6" s="261" t="s">
        <v>260</v>
      </c>
      <c r="Q6" s="261" t="s">
        <v>261</v>
      </c>
      <c r="R6" s="261" t="s">
        <v>262</v>
      </c>
      <c r="S6" s="261" t="s">
        <v>263</v>
      </c>
      <c r="T6" s="261" t="s">
        <v>264</v>
      </c>
      <c r="U6" s="261" t="s">
        <v>265</v>
      </c>
      <c r="V6" s="227" t="s">
        <v>16</v>
      </c>
      <c r="W6" s="227" t="s">
        <v>17</v>
      </c>
      <c r="X6" s="227" t="s">
        <v>18</v>
      </c>
      <c r="Y6" s="262" t="s">
        <v>266</v>
      </c>
    </row>
    <row r="7" spans="1:25" s="2" customFormat="1" ht="12.75">
      <c r="A7" s="263"/>
      <c r="B7" s="263"/>
      <c r="C7" s="263"/>
      <c r="D7" s="263"/>
      <c r="E7" s="264"/>
      <c r="F7" s="265"/>
      <c r="G7" s="265"/>
      <c r="H7" s="265"/>
      <c r="I7" s="265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4"/>
      <c r="X7" s="264"/>
      <c r="Y7" s="264"/>
    </row>
    <row r="8" spans="1:25" s="2" customFormat="1" ht="12.75" hidden="1">
      <c r="A8" s="170" t="s">
        <v>37</v>
      </c>
      <c r="B8" s="171"/>
      <c r="C8" s="171"/>
      <c r="D8" s="172" t="s">
        <v>38</v>
      </c>
      <c r="E8" s="266">
        <f>E9</f>
        <v>0</v>
      </c>
      <c r="F8" s="267"/>
      <c r="G8" s="267"/>
      <c r="H8" s="267"/>
      <c r="I8" s="267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  <c r="X8" s="269"/>
      <c r="Y8" s="270">
        <f>Y9</f>
        <v>0</v>
      </c>
    </row>
    <row r="9" spans="1:25" s="2" customFormat="1" ht="12.75" hidden="1">
      <c r="A9" s="271"/>
      <c r="B9" s="177" t="s">
        <v>45</v>
      </c>
      <c r="C9" s="7"/>
      <c r="D9" s="8" t="s">
        <v>34</v>
      </c>
      <c r="E9" s="272">
        <f>E10</f>
        <v>0</v>
      </c>
      <c r="F9" s="273"/>
      <c r="G9" s="273"/>
      <c r="H9" s="273"/>
      <c r="I9" s="273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7" t="s">
        <v>45</v>
      </c>
      <c r="W9" s="7"/>
      <c r="X9" s="8" t="s">
        <v>34</v>
      </c>
      <c r="Y9" s="274">
        <f>SUM(Y10:Y12)</f>
        <v>0</v>
      </c>
    </row>
    <row r="10" spans="1:25" s="2" customFormat="1" ht="26.25" customHeight="1" hidden="1">
      <c r="A10" s="271"/>
      <c r="B10" s="271"/>
      <c r="C10" s="385">
        <v>2010</v>
      </c>
      <c r="D10" s="388" t="s">
        <v>26</v>
      </c>
      <c r="E10" s="403"/>
      <c r="F10" s="273"/>
      <c r="G10" s="273"/>
      <c r="H10" s="273"/>
      <c r="I10" s="273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27">
        <v>4210</v>
      </c>
      <c r="X10" s="28" t="s">
        <v>39</v>
      </c>
      <c r="Y10" s="42"/>
    </row>
    <row r="11" spans="1:25" s="2" customFormat="1" ht="17.25" customHeight="1" hidden="1">
      <c r="A11" s="271"/>
      <c r="B11" s="271"/>
      <c r="C11" s="386"/>
      <c r="D11" s="389"/>
      <c r="E11" s="404"/>
      <c r="F11" s="273"/>
      <c r="G11" s="273"/>
      <c r="H11" s="273"/>
      <c r="I11" s="273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27">
        <v>4300</v>
      </c>
      <c r="X11" s="28" t="s">
        <v>41</v>
      </c>
      <c r="Y11" s="42"/>
    </row>
    <row r="12" spans="1:25" s="2" customFormat="1" ht="12.75" hidden="1">
      <c r="A12" s="271"/>
      <c r="B12" s="271"/>
      <c r="C12" s="387"/>
      <c r="D12" s="390"/>
      <c r="E12" s="405"/>
      <c r="F12" s="273"/>
      <c r="G12" s="273"/>
      <c r="H12" s="273"/>
      <c r="I12" s="273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9">
        <v>4430</v>
      </c>
      <c r="X12" s="11" t="s">
        <v>46</v>
      </c>
      <c r="Y12" s="42"/>
    </row>
    <row r="13" spans="1:25" s="4" customFormat="1" ht="12.75">
      <c r="A13" s="5">
        <v>750</v>
      </c>
      <c r="B13" s="5"/>
      <c r="C13" s="5"/>
      <c r="D13" s="6" t="s">
        <v>25</v>
      </c>
      <c r="E13" s="100">
        <f>E14</f>
        <v>58100</v>
      </c>
      <c r="F13" s="100">
        <f>F14</f>
        <v>0</v>
      </c>
      <c r="G13" s="100">
        <f>G14</f>
        <v>0</v>
      </c>
      <c r="H13" s="100">
        <f>H14</f>
        <v>0</v>
      </c>
      <c r="I13" s="276" t="e">
        <f>I14+#REF!+#REF!</f>
        <v>#REF!</v>
      </c>
      <c r="J13" s="100">
        <f aca="true" t="shared" si="0" ref="J13:U13">J14</f>
        <v>2983</v>
      </c>
      <c r="K13" s="100">
        <f t="shared" si="0"/>
        <v>3596</v>
      </c>
      <c r="L13" s="100">
        <f t="shared" si="0"/>
        <v>2893</v>
      </c>
      <c r="M13" s="100">
        <f t="shared" si="0"/>
        <v>0</v>
      </c>
      <c r="N13" s="100">
        <f t="shared" si="0"/>
        <v>3200</v>
      </c>
      <c r="O13" s="100">
        <f t="shared" si="0"/>
        <v>0</v>
      </c>
      <c r="P13" s="100">
        <f t="shared" si="0"/>
        <v>0</v>
      </c>
      <c r="Q13" s="100">
        <f t="shared" si="0"/>
        <v>0</v>
      </c>
      <c r="R13" s="100">
        <f t="shared" si="0"/>
        <v>0</v>
      </c>
      <c r="S13" s="100">
        <f t="shared" si="0"/>
        <v>0</v>
      </c>
      <c r="T13" s="100">
        <f t="shared" si="0"/>
        <v>0</v>
      </c>
      <c r="U13" s="100">
        <f t="shared" si="0"/>
        <v>0</v>
      </c>
      <c r="V13" s="277"/>
      <c r="W13" s="278"/>
      <c r="X13" s="278"/>
      <c r="Y13" s="277">
        <f>Y14</f>
        <v>58100</v>
      </c>
    </row>
    <row r="14" spans="1:25" s="4" customFormat="1" ht="17.25" customHeight="1">
      <c r="A14" s="371">
        <v>75011</v>
      </c>
      <c r="B14" s="372"/>
      <c r="C14" s="7"/>
      <c r="D14" s="8" t="s">
        <v>143</v>
      </c>
      <c r="E14" s="237">
        <f>SUM(E15:E15)</f>
        <v>58100</v>
      </c>
      <c r="F14" s="112">
        <f aca="true" t="shared" si="1" ref="F14:U14">SUM(F15:F15)</f>
        <v>0</v>
      </c>
      <c r="G14" s="279">
        <f t="shared" si="1"/>
        <v>0</v>
      </c>
      <c r="H14" s="279">
        <f t="shared" si="1"/>
        <v>0</v>
      </c>
      <c r="I14" s="279">
        <f t="shared" si="1"/>
        <v>0</v>
      </c>
      <c r="J14" s="113">
        <f t="shared" si="1"/>
        <v>2983</v>
      </c>
      <c r="K14" s="113">
        <f t="shared" si="1"/>
        <v>3596</v>
      </c>
      <c r="L14" s="113">
        <f t="shared" si="1"/>
        <v>2893</v>
      </c>
      <c r="M14" s="113">
        <f t="shared" si="1"/>
        <v>0</v>
      </c>
      <c r="N14" s="113">
        <f t="shared" si="1"/>
        <v>3200</v>
      </c>
      <c r="O14" s="113">
        <f t="shared" si="1"/>
        <v>0</v>
      </c>
      <c r="P14" s="113">
        <f t="shared" si="1"/>
        <v>0</v>
      </c>
      <c r="Q14" s="113">
        <f t="shared" si="1"/>
        <v>0</v>
      </c>
      <c r="R14" s="113">
        <f t="shared" si="1"/>
        <v>0</v>
      </c>
      <c r="S14" s="113">
        <f t="shared" si="1"/>
        <v>0</v>
      </c>
      <c r="T14" s="113">
        <f t="shared" si="1"/>
        <v>0</v>
      </c>
      <c r="U14" s="113">
        <f t="shared" si="1"/>
        <v>0</v>
      </c>
      <c r="V14" s="7">
        <v>75011</v>
      </c>
      <c r="W14" s="7"/>
      <c r="X14" s="8" t="s">
        <v>143</v>
      </c>
      <c r="Y14" s="280">
        <f>Y15+Y16</f>
        <v>58100</v>
      </c>
    </row>
    <row r="15" spans="1:25" s="4" customFormat="1" ht="25.5">
      <c r="A15" s="406"/>
      <c r="B15" s="407"/>
      <c r="C15" s="385">
        <v>2010</v>
      </c>
      <c r="D15" s="388" t="s">
        <v>26</v>
      </c>
      <c r="E15" s="410">
        <v>58100</v>
      </c>
      <c r="F15" s="282"/>
      <c r="G15" s="283"/>
      <c r="H15" s="283"/>
      <c r="I15" s="283"/>
      <c r="J15" s="284">
        <v>2983</v>
      </c>
      <c r="K15" s="284">
        <v>3596</v>
      </c>
      <c r="L15" s="284">
        <v>2893</v>
      </c>
      <c r="M15" s="284"/>
      <c r="N15" s="284">
        <v>3200</v>
      </c>
      <c r="O15" s="284"/>
      <c r="P15" s="284"/>
      <c r="Q15" s="284"/>
      <c r="R15" s="284"/>
      <c r="S15" s="284"/>
      <c r="T15" s="284"/>
      <c r="U15" s="284"/>
      <c r="V15" s="397"/>
      <c r="W15" s="27">
        <v>4010</v>
      </c>
      <c r="X15" s="28" t="s">
        <v>57</v>
      </c>
      <c r="Y15" s="106">
        <v>50478</v>
      </c>
    </row>
    <row r="16" spans="1:25" s="4" customFormat="1" ht="33.75" customHeight="1">
      <c r="A16" s="408"/>
      <c r="B16" s="409"/>
      <c r="C16" s="387"/>
      <c r="D16" s="390"/>
      <c r="E16" s="411"/>
      <c r="F16" s="282"/>
      <c r="G16" s="283"/>
      <c r="H16" s="283"/>
      <c r="I16" s="283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398"/>
      <c r="W16" s="27">
        <v>4110</v>
      </c>
      <c r="X16" s="28" t="s">
        <v>58</v>
      </c>
      <c r="Y16" s="106">
        <v>7622</v>
      </c>
    </row>
    <row r="17" spans="1:25" s="4" customFormat="1" ht="38.25">
      <c r="A17" s="5">
        <v>751</v>
      </c>
      <c r="B17" s="188"/>
      <c r="C17" s="188"/>
      <c r="D17" s="6" t="s">
        <v>197</v>
      </c>
      <c r="E17" s="287">
        <f>E18+E20</f>
        <v>7074</v>
      </c>
      <c r="F17" s="282"/>
      <c r="G17" s="283"/>
      <c r="H17" s="283"/>
      <c r="I17" s="283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8"/>
      <c r="W17" s="41"/>
      <c r="X17" s="289"/>
      <c r="Y17" s="290">
        <f>Y18+Y20</f>
        <v>7074</v>
      </c>
    </row>
    <row r="18" spans="1:25" s="4" customFormat="1" ht="38.25">
      <c r="A18" s="399">
        <v>75101</v>
      </c>
      <c r="B18" s="400"/>
      <c r="C18" s="12"/>
      <c r="D18" s="102" t="s">
        <v>198</v>
      </c>
      <c r="E18" s="291">
        <f>E19</f>
        <v>1150</v>
      </c>
      <c r="F18" s="282"/>
      <c r="G18" s="283"/>
      <c r="H18" s="283"/>
      <c r="I18" s="283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12">
        <v>75101</v>
      </c>
      <c r="W18" s="27"/>
      <c r="X18" s="102" t="s">
        <v>198</v>
      </c>
      <c r="Y18" s="292">
        <f>Y19</f>
        <v>1150</v>
      </c>
    </row>
    <row r="19" spans="1:25" s="4" customFormat="1" ht="59.25" customHeight="1">
      <c r="A19" s="369"/>
      <c r="B19" s="370"/>
      <c r="C19" s="9">
        <v>2010</v>
      </c>
      <c r="D19" s="11" t="s">
        <v>26</v>
      </c>
      <c r="E19" s="286">
        <v>1150</v>
      </c>
      <c r="F19" s="282"/>
      <c r="G19" s="283"/>
      <c r="H19" s="283"/>
      <c r="I19" s="283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7">
        <v>4300</v>
      </c>
      <c r="X19" s="28" t="s">
        <v>41</v>
      </c>
      <c r="Y19" s="286">
        <v>1150</v>
      </c>
    </row>
    <row r="20" spans="1:25" s="4" customFormat="1" ht="25.5">
      <c r="A20" s="401">
        <v>75113</v>
      </c>
      <c r="B20" s="402"/>
      <c r="C20" s="9"/>
      <c r="D20" s="18" t="s">
        <v>472</v>
      </c>
      <c r="E20" s="291">
        <f>E21</f>
        <v>5924</v>
      </c>
      <c r="F20" s="282"/>
      <c r="G20" s="283"/>
      <c r="H20" s="283"/>
      <c r="I20" s="283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447" t="s">
        <v>490</v>
      </c>
      <c r="W20" s="27"/>
      <c r="X20" s="18" t="s">
        <v>472</v>
      </c>
      <c r="Y20" s="291">
        <f>SUM(Y21:Y25)</f>
        <v>5924</v>
      </c>
    </row>
    <row r="21" spans="1:25" s="4" customFormat="1" ht="59.25" customHeight="1">
      <c r="A21" s="448"/>
      <c r="B21" s="449"/>
      <c r="C21" s="385">
        <v>2010</v>
      </c>
      <c r="D21" s="388" t="s">
        <v>26</v>
      </c>
      <c r="E21" s="397">
        <v>5924</v>
      </c>
      <c r="F21" s="282"/>
      <c r="G21" s="283"/>
      <c r="H21" s="283"/>
      <c r="I21" s="283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7">
        <v>4110</v>
      </c>
      <c r="X21" s="28" t="s">
        <v>58</v>
      </c>
      <c r="Y21" s="42">
        <v>505</v>
      </c>
    </row>
    <row r="22" spans="1:25" s="4" customFormat="1" ht="12.75">
      <c r="A22" s="450"/>
      <c r="B22" s="451"/>
      <c r="C22" s="386"/>
      <c r="D22" s="389"/>
      <c r="E22" s="452"/>
      <c r="F22" s="282"/>
      <c r="G22" s="283"/>
      <c r="H22" s="283"/>
      <c r="I22" s="283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7">
        <v>4120</v>
      </c>
      <c r="X22" s="28" t="s">
        <v>144</v>
      </c>
      <c r="Y22" s="42">
        <v>82</v>
      </c>
    </row>
    <row r="23" spans="1:25" s="4" customFormat="1" ht="12.75">
      <c r="A23" s="450"/>
      <c r="B23" s="451"/>
      <c r="C23" s="386"/>
      <c r="D23" s="389"/>
      <c r="E23" s="452"/>
      <c r="F23" s="282"/>
      <c r="G23" s="283"/>
      <c r="H23" s="283"/>
      <c r="I23" s="283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7">
        <v>4170</v>
      </c>
      <c r="X23" s="28" t="s">
        <v>63</v>
      </c>
      <c r="Y23" s="42">
        <v>3347</v>
      </c>
    </row>
    <row r="24" spans="1:25" s="4" customFormat="1" ht="25.5">
      <c r="A24" s="450"/>
      <c r="B24" s="451"/>
      <c r="C24" s="386"/>
      <c r="D24" s="389"/>
      <c r="E24" s="452"/>
      <c r="F24" s="282"/>
      <c r="G24" s="283"/>
      <c r="H24" s="283"/>
      <c r="I24" s="283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7">
        <v>4210</v>
      </c>
      <c r="X24" s="28" t="s">
        <v>39</v>
      </c>
      <c r="Y24" s="42">
        <v>1550</v>
      </c>
    </row>
    <row r="25" spans="1:25" s="4" customFormat="1" ht="12.75">
      <c r="A25" s="450"/>
      <c r="B25" s="451"/>
      <c r="C25" s="386"/>
      <c r="D25" s="389"/>
      <c r="E25" s="452"/>
      <c r="F25" s="282"/>
      <c r="G25" s="283"/>
      <c r="H25" s="283"/>
      <c r="I25" s="283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7">
        <v>4410</v>
      </c>
      <c r="X25" s="28" t="s">
        <v>60</v>
      </c>
      <c r="Y25" s="42">
        <v>440</v>
      </c>
    </row>
    <row r="26" spans="1:25" s="4" customFormat="1" ht="25.5" hidden="1">
      <c r="A26" s="5">
        <v>754</v>
      </c>
      <c r="B26" s="5"/>
      <c r="C26" s="5"/>
      <c r="D26" s="6" t="s">
        <v>72</v>
      </c>
      <c r="E26" s="100">
        <f aca="true" t="shared" si="2" ref="E26:U26">E27</f>
        <v>0</v>
      </c>
      <c r="F26" s="276">
        <f t="shared" si="2"/>
        <v>0</v>
      </c>
      <c r="G26" s="276">
        <f t="shared" si="2"/>
        <v>0</v>
      </c>
      <c r="H26" s="276">
        <f t="shared" si="2"/>
        <v>0</v>
      </c>
      <c r="I26" s="276">
        <f t="shared" si="2"/>
        <v>0</v>
      </c>
      <c r="J26" s="100">
        <f t="shared" si="2"/>
        <v>0</v>
      </c>
      <c r="K26" s="100">
        <f t="shared" si="2"/>
        <v>0</v>
      </c>
      <c r="L26" s="100">
        <f t="shared" si="2"/>
        <v>0</v>
      </c>
      <c r="M26" s="100">
        <f t="shared" si="2"/>
        <v>200</v>
      </c>
      <c r="N26" s="100">
        <f t="shared" si="2"/>
        <v>0</v>
      </c>
      <c r="O26" s="100">
        <f t="shared" si="2"/>
        <v>0</v>
      </c>
      <c r="P26" s="100">
        <f t="shared" si="2"/>
        <v>0</v>
      </c>
      <c r="Q26" s="100">
        <f t="shared" si="2"/>
        <v>0</v>
      </c>
      <c r="R26" s="100">
        <f t="shared" si="2"/>
        <v>0</v>
      </c>
      <c r="S26" s="100">
        <f t="shared" si="2"/>
        <v>0</v>
      </c>
      <c r="T26" s="100">
        <f t="shared" si="2"/>
        <v>0</v>
      </c>
      <c r="U26" s="100">
        <f t="shared" si="2"/>
        <v>0</v>
      </c>
      <c r="V26" s="277"/>
      <c r="W26" s="278"/>
      <c r="X26" s="278"/>
      <c r="Y26" s="277">
        <f>Y27</f>
        <v>0</v>
      </c>
    </row>
    <row r="27" spans="1:25" s="4" customFormat="1" ht="12.75" hidden="1">
      <c r="A27" s="371">
        <v>75414</v>
      </c>
      <c r="B27" s="372"/>
      <c r="C27" s="7"/>
      <c r="D27" s="8" t="s">
        <v>75</v>
      </c>
      <c r="E27" s="237">
        <f aca="true" t="shared" si="3" ref="E27:U27">SUM(E28)</f>
        <v>0</v>
      </c>
      <c r="F27" s="279">
        <f t="shared" si="3"/>
        <v>0</v>
      </c>
      <c r="G27" s="279">
        <f t="shared" si="3"/>
        <v>0</v>
      </c>
      <c r="H27" s="279">
        <f t="shared" si="3"/>
        <v>0</v>
      </c>
      <c r="I27" s="279">
        <f t="shared" si="3"/>
        <v>0</v>
      </c>
      <c r="J27" s="113">
        <f t="shared" si="3"/>
        <v>0</v>
      </c>
      <c r="K27" s="113">
        <f t="shared" si="3"/>
        <v>0</v>
      </c>
      <c r="L27" s="113">
        <f t="shared" si="3"/>
        <v>0</v>
      </c>
      <c r="M27" s="113">
        <f t="shared" si="3"/>
        <v>200</v>
      </c>
      <c r="N27" s="113">
        <f t="shared" si="3"/>
        <v>0</v>
      </c>
      <c r="O27" s="113">
        <f t="shared" si="3"/>
        <v>0</v>
      </c>
      <c r="P27" s="113">
        <f t="shared" si="3"/>
        <v>0</v>
      </c>
      <c r="Q27" s="113">
        <f t="shared" si="3"/>
        <v>0</v>
      </c>
      <c r="R27" s="113">
        <f t="shared" si="3"/>
        <v>0</v>
      </c>
      <c r="S27" s="113">
        <f t="shared" si="3"/>
        <v>0</v>
      </c>
      <c r="T27" s="113">
        <f t="shared" si="3"/>
        <v>0</v>
      </c>
      <c r="U27" s="113">
        <f t="shared" si="3"/>
        <v>0</v>
      </c>
      <c r="V27" s="7">
        <v>75414</v>
      </c>
      <c r="W27" s="7"/>
      <c r="X27" s="8" t="s">
        <v>75</v>
      </c>
      <c r="Y27" s="280">
        <f>Y28</f>
        <v>0</v>
      </c>
    </row>
    <row r="28" spans="1:25" s="4" customFormat="1" ht="63.75" hidden="1">
      <c r="A28" s="373"/>
      <c r="B28" s="374"/>
      <c r="C28" s="9">
        <v>2010</v>
      </c>
      <c r="D28" s="11" t="s">
        <v>26</v>
      </c>
      <c r="E28" s="106"/>
      <c r="F28" s="283"/>
      <c r="G28" s="283"/>
      <c r="H28" s="283"/>
      <c r="I28" s="283"/>
      <c r="J28" s="284"/>
      <c r="K28" s="284"/>
      <c r="L28" s="284"/>
      <c r="M28" s="284">
        <v>200</v>
      </c>
      <c r="N28" s="284"/>
      <c r="O28" s="284"/>
      <c r="P28" s="284"/>
      <c r="Q28" s="284"/>
      <c r="R28" s="284"/>
      <c r="S28" s="284"/>
      <c r="T28" s="284"/>
      <c r="U28" s="284"/>
      <c r="V28" s="284"/>
      <c r="W28" s="9">
        <v>4210</v>
      </c>
      <c r="X28" s="11" t="s">
        <v>39</v>
      </c>
      <c r="Y28" s="284"/>
    </row>
    <row r="29" spans="1:25" s="4" customFormat="1" ht="12.75">
      <c r="A29" s="5">
        <v>852</v>
      </c>
      <c r="B29" s="5"/>
      <c r="C29" s="5"/>
      <c r="D29" s="6" t="s">
        <v>165</v>
      </c>
      <c r="E29" s="100">
        <f>E40+E38+E30</f>
        <v>1698700</v>
      </c>
      <c r="F29" s="276" t="e">
        <f>F40+#REF!+#REF!+#REF!+F38+#REF!+#REF!</f>
        <v>#REF!</v>
      </c>
      <c r="G29" s="276" t="e">
        <f>G40+#REF!+#REF!+#REF!+G38+#REF!+#REF!</f>
        <v>#REF!</v>
      </c>
      <c r="H29" s="276" t="e">
        <f>H40+#REF!+#REF!+#REF!+H38+#REF!+#REF!</f>
        <v>#REF!</v>
      </c>
      <c r="I29" s="276" t="e">
        <f>I40+#REF!+#REF!+#REF!+I38+#REF!+#REF!</f>
        <v>#REF!</v>
      </c>
      <c r="J29" s="100" t="e">
        <f>J40+#REF!+#REF!+#REF!+J38+#REF!+#REF!</f>
        <v>#REF!</v>
      </c>
      <c r="K29" s="100" t="e">
        <f>K40+#REF!+#REF!+#REF!+K38+#REF!+#REF!</f>
        <v>#REF!</v>
      </c>
      <c r="L29" s="100" t="e">
        <f>L40+#REF!+#REF!+#REF!+L38+#REF!+#REF!</f>
        <v>#REF!</v>
      </c>
      <c r="M29" s="100" t="e">
        <f>M40+#REF!+#REF!+#REF!+M38+#REF!+#REF!</f>
        <v>#REF!</v>
      </c>
      <c r="N29" s="100" t="e">
        <f>N40+#REF!+#REF!+#REF!+N38+#REF!+#REF!</f>
        <v>#REF!</v>
      </c>
      <c r="O29" s="100" t="e">
        <f>O40+#REF!+#REF!+#REF!+O38+#REF!+#REF!</f>
        <v>#REF!</v>
      </c>
      <c r="P29" s="100" t="e">
        <f>P40+#REF!+#REF!+#REF!+P38+#REF!+#REF!</f>
        <v>#REF!</v>
      </c>
      <c r="Q29" s="100" t="e">
        <f>Q40+#REF!+#REF!+#REF!+Q38+#REF!+#REF!</f>
        <v>#REF!</v>
      </c>
      <c r="R29" s="100" t="e">
        <f>R40+#REF!+#REF!+#REF!+R38+#REF!+#REF!</f>
        <v>#REF!</v>
      </c>
      <c r="S29" s="100" t="e">
        <f>S40+#REF!+#REF!+#REF!+S38+#REF!+#REF!</f>
        <v>#REF!</v>
      </c>
      <c r="T29" s="100" t="e">
        <f>T40+#REF!+#REF!+#REF!+T38+#REF!+#REF!</f>
        <v>#REF!</v>
      </c>
      <c r="U29" s="100" t="e">
        <f>U40+#REF!+#REF!+#REF!+U38+#REF!+#REF!</f>
        <v>#REF!</v>
      </c>
      <c r="V29" s="277"/>
      <c r="W29" s="278"/>
      <c r="X29" s="278"/>
      <c r="Y29" s="277">
        <f>Y40+Y38+Y30</f>
        <v>1698700</v>
      </c>
    </row>
    <row r="30" spans="1:25" s="296" customFormat="1" ht="51">
      <c r="A30" s="401">
        <v>85212</v>
      </c>
      <c r="B30" s="402"/>
      <c r="C30" s="103"/>
      <c r="D30" s="8" t="s">
        <v>267</v>
      </c>
      <c r="E30" s="293">
        <f>SUM(E31:E35)</f>
        <v>1652900</v>
      </c>
      <c r="F30" s="294"/>
      <c r="G30" s="294"/>
      <c r="H30" s="294"/>
      <c r="I30" s="294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104">
        <v>85212</v>
      </c>
      <c r="W30" s="103"/>
      <c r="X30" s="8" t="s">
        <v>267</v>
      </c>
      <c r="Y30" s="293">
        <f>SUM(Y31:Y37)</f>
        <v>1652900</v>
      </c>
    </row>
    <row r="31" spans="1:25" s="296" customFormat="1" ht="18" customHeight="1">
      <c r="A31" s="379"/>
      <c r="B31" s="380"/>
      <c r="C31" s="385">
        <v>2010</v>
      </c>
      <c r="D31" s="388" t="s">
        <v>26</v>
      </c>
      <c r="E31" s="391">
        <v>1652900</v>
      </c>
      <c r="F31" s="294"/>
      <c r="G31" s="294"/>
      <c r="H31" s="294"/>
      <c r="I31" s="294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394"/>
      <c r="W31" s="9">
        <v>3110</v>
      </c>
      <c r="X31" s="11" t="s">
        <v>169</v>
      </c>
      <c r="Y31" s="37">
        <v>1603313</v>
      </c>
    </row>
    <row r="32" spans="1:25" s="296" customFormat="1" ht="25.5">
      <c r="A32" s="381"/>
      <c r="B32" s="382"/>
      <c r="C32" s="386"/>
      <c r="D32" s="389"/>
      <c r="E32" s="392"/>
      <c r="F32" s="294"/>
      <c r="G32" s="294"/>
      <c r="H32" s="294"/>
      <c r="I32" s="294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395"/>
      <c r="W32" s="9">
        <v>4010</v>
      </c>
      <c r="X32" s="11" t="s">
        <v>57</v>
      </c>
      <c r="Y32" s="37">
        <v>32311</v>
      </c>
    </row>
    <row r="33" spans="1:25" s="296" customFormat="1" ht="24.75" customHeight="1">
      <c r="A33" s="381"/>
      <c r="B33" s="382"/>
      <c r="C33" s="386"/>
      <c r="D33" s="389"/>
      <c r="E33" s="392"/>
      <c r="F33" s="294"/>
      <c r="G33" s="294"/>
      <c r="H33" s="294"/>
      <c r="I33" s="294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395"/>
      <c r="W33" s="9">
        <v>4110</v>
      </c>
      <c r="X33" s="11" t="s">
        <v>58</v>
      </c>
      <c r="Y33" s="37">
        <v>4879</v>
      </c>
    </row>
    <row r="34" spans="1:25" s="296" customFormat="1" ht="27" customHeight="1">
      <c r="A34" s="381"/>
      <c r="B34" s="382"/>
      <c r="C34" s="386"/>
      <c r="D34" s="389"/>
      <c r="E34" s="392"/>
      <c r="F34" s="294"/>
      <c r="G34" s="294"/>
      <c r="H34" s="294"/>
      <c r="I34" s="294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395"/>
      <c r="W34" s="9">
        <v>4210</v>
      </c>
      <c r="X34" s="11" t="s">
        <v>39</v>
      </c>
      <c r="Y34" s="37">
        <v>1000</v>
      </c>
    </row>
    <row r="35" spans="1:25" s="296" customFormat="1" ht="13.5" customHeight="1">
      <c r="A35" s="381"/>
      <c r="B35" s="382"/>
      <c r="C35" s="386"/>
      <c r="D35" s="389"/>
      <c r="E35" s="392"/>
      <c r="F35" s="294"/>
      <c r="G35" s="294"/>
      <c r="H35" s="294"/>
      <c r="I35" s="294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395"/>
      <c r="W35" s="9">
        <v>4300</v>
      </c>
      <c r="X35" s="11" t="s">
        <v>41</v>
      </c>
      <c r="Y35" s="37">
        <v>8504</v>
      </c>
    </row>
    <row r="36" spans="1:25" s="296" customFormat="1" ht="13.5" customHeight="1">
      <c r="A36" s="381"/>
      <c r="B36" s="382"/>
      <c r="C36" s="386"/>
      <c r="D36" s="389"/>
      <c r="E36" s="392"/>
      <c r="F36" s="294"/>
      <c r="G36" s="294"/>
      <c r="H36" s="294"/>
      <c r="I36" s="294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395"/>
      <c r="W36" s="9">
        <v>4410</v>
      </c>
      <c r="X36" s="11" t="s">
        <v>60</v>
      </c>
      <c r="Y36" s="37">
        <v>893</v>
      </c>
    </row>
    <row r="37" spans="1:25" s="296" customFormat="1" ht="38.25">
      <c r="A37" s="383"/>
      <c r="B37" s="384"/>
      <c r="C37" s="387"/>
      <c r="D37" s="390"/>
      <c r="E37" s="393"/>
      <c r="F37" s="294"/>
      <c r="G37" s="294"/>
      <c r="H37" s="294"/>
      <c r="I37" s="294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396"/>
      <c r="W37" s="27">
        <v>4700</v>
      </c>
      <c r="X37" s="28" t="s">
        <v>200</v>
      </c>
      <c r="Y37" s="37">
        <v>2000</v>
      </c>
    </row>
    <row r="38" spans="1:25" s="110" customFormat="1" ht="66" customHeight="1">
      <c r="A38" s="371">
        <v>85213</v>
      </c>
      <c r="B38" s="372"/>
      <c r="C38" s="7"/>
      <c r="D38" s="8" t="s">
        <v>268</v>
      </c>
      <c r="E38" s="297">
        <f>E39</f>
        <v>9200</v>
      </c>
      <c r="F38" s="298">
        <f aca="true" t="shared" si="4" ref="F38:K38">F39</f>
        <v>0</v>
      </c>
      <c r="G38" s="298">
        <f t="shared" si="4"/>
        <v>0</v>
      </c>
      <c r="H38" s="298">
        <f t="shared" si="4"/>
        <v>2500</v>
      </c>
      <c r="I38" s="298">
        <f t="shared" si="4"/>
        <v>0</v>
      </c>
      <c r="J38" s="101">
        <f t="shared" si="4"/>
        <v>1183</v>
      </c>
      <c r="K38" s="101">
        <f t="shared" si="4"/>
        <v>805</v>
      </c>
      <c r="L38" s="101">
        <f>L39</f>
        <v>582</v>
      </c>
      <c r="M38" s="101">
        <f>M39</f>
        <v>1183</v>
      </c>
      <c r="N38" s="101">
        <f>N39</f>
        <v>2163</v>
      </c>
      <c r="O38" s="101"/>
      <c r="P38" s="101"/>
      <c r="Q38" s="101"/>
      <c r="R38" s="101"/>
      <c r="S38" s="101"/>
      <c r="T38" s="101"/>
      <c r="U38" s="101"/>
      <c r="V38" s="7">
        <v>85213</v>
      </c>
      <c r="W38" s="7"/>
      <c r="X38" s="8" t="s">
        <v>268</v>
      </c>
      <c r="Y38" s="297">
        <f>Y39</f>
        <v>9200</v>
      </c>
    </row>
    <row r="39" spans="1:25" s="110" customFormat="1" ht="57" customHeight="1">
      <c r="A39" s="369"/>
      <c r="B39" s="370"/>
      <c r="C39" s="9">
        <v>2010</v>
      </c>
      <c r="D39" s="11" t="s">
        <v>26</v>
      </c>
      <c r="E39" s="114">
        <v>9200</v>
      </c>
      <c r="F39" s="298"/>
      <c r="G39" s="298"/>
      <c r="H39" s="13">
        <v>2500</v>
      </c>
      <c r="I39" s="298"/>
      <c r="J39" s="114">
        <v>1183</v>
      </c>
      <c r="K39" s="114">
        <v>805</v>
      </c>
      <c r="L39" s="114">
        <v>582</v>
      </c>
      <c r="M39" s="114">
        <v>1183</v>
      </c>
      <c r="N39" s="114">
        <v>2163</v>
      </c>
      <c r="O39" s="101"/>
      <c r="P39" s="101"/>
      <c r="Q39" s="101"/>
      <c r="R39" s="101"/>
      <c r="S39" s="101"/>
      <c r="T39" s="101"/>
      <c r="U39" s="101"/>
      <c r="V39" s="101"/>
      <c r="W39" s="9">
        <v>4130</v>
      </c>
      <c r="X39" s="11" t="s">
        <v>170</v>
      </c>
      <c r="Y39" s="114">
        <v>9200</v>
      </c>
    </row>
    <row r="40" spans="1:25" s="4" customFormat="1" ht="38.25">
      <c r="A40" s="371">
        <v>85214</v>
      </c>
      <c r="B40" s="372"/>
      <c r="C40" s="7"/>
      <c r="D40" s="8" t="s">
        <v>269</v>
      </c>
      <c r="E40" s="237">
        <f aca="true" t="shared" si="5" ref="E40:U40">E41</f>
        <v>36600</v>
      </c>
      <c r="F40" s="279">
        <f t="shared" si="5"/>
        <v>0</v>
      </c>
      <c r="G40" s="279">
        <f t="shared" si="5"/>
        <v>53000</v>
      </c>
      <c r="H40" s="279">
        <f t="shared" si="5"/>
        <v>14800</v>
      </c>
      <c r="I40" s="279">
        <f t="shared" si="5"/>
        <v>0</v>
      </c>
      <c r="J40" s="113">
        <f t="shared" si="5"/>
        <v>20100</v>
      </c>
      <c r="K40" s="113">
        <f t="shared" si="5"/>
        <v>32427</v>
      </c>
      <c r="L40" s="113">
        <f t="shared" si="5"/>
        <v>22000</v>
      </c>
      <c r="M40" s="113">
        <f t="shared" si="5"/>
        <v>20100</v>
      </c>
      <c r="N40" s="113">
        <f t="shared" si="5"/>
        <v>29168</v>
      </c>
      <c r="O40" s="113">
        <f t="shared" si="5"/>
        <v>0</v>
      </c>
      <c r="P40" s="113">
        <f t="shared" si="5"/>
        <v>0</v>
      </c>
      <c r="Q40" s="113">
        <f t="shared" si="5"/>
        <v>0</v>
      </c>
      <c r="R40" s="113">
        <f t="shared" si="5"/>
        <v>0</v>
      </c>
      <c r="S40" s="113">
        <f t="shared" si="5"/>
        <v>0</v>
      </c>
      <c r="T40" s="113">
        <f t="shared" si="5"/>
        <v>0</v>
      </c>
      <c r="U40" s="113">
        <f t="shared" si="5"/>
        <v>0</v>
      </c>
      <c r="V40" s="7">
        <v>85214</v>
      </c>
      <c r="W40" s="7"/>
      <c r="X40" s="8" t="s">
        <v>269</v>
      </c>
      <c r="Y40" s="237">
        <f>Y41</f>
        <v>36600</v>
      </c>
    </row>
    <row r="41" spans="1:25" s="4" customFormat="1" ht="55.5" customHeight="1">
      <c r="A41" s="373"/>
      <c r="B41" s="374"/>
      <c r="C41" s="275">
        <v>2010</v>
      </c>
      <c r="D41" s="299" t="s">
        <v>26</v>
      </c>
      <c r="E41" s="300">
        <v>36600</v>
      </c>
      <c r="F41" s="301"/>
      <c r="G41" s="301">
        <v>53000</v>
      </c>
      <c r="H41" s="301">
        <v>14800</v>
      </c>
      <c r="I41" s="301"/>
      <c r="J41" s="106">
        <v>20100</v>
      </c>
      <c r="K41" s="106">
        <v>32427</v>
      </c>
      <c r="L41" s="106">
        <v>22000</v>
      </c>
      <c r="M41" s="106">
        <v>20100</v>
      </c>
      <c r="N41" s="106">
        <v>29168</v>
      </c>
      <c r="O41" s="106"/>
      <c r="P41" s="106"/>
      <c r="Q41" s="106"/>
      <c r="R41" s="106"/>
      <c r="S41" s="106"/>
      <c r="T41" s="106"/>
      <c r="U41" s="106"/>
      <c r="V41" s="285"/>
      <c r="W41" s="9">
        <v>3110</v>
      </c>
      <c r="X41" s="11" t="s">
        <v>169</v>
      </c>
      <c r="Y41" s="42">
        <v>36600</v>
      </c>
    </row>
    <row r="42" spans="1:25" s="307" customFormat="1" ht="15">
      <c r="A42" s="375"/>
      <c r="B42" s="376"/>
      <c r="C42" s="302"/>
      <c r="D42" s="303" t="s">
        <v>79</v>
      </c>
      <c r="E42" s="304">
        <f>E13+E26+E29+E17+E8</f>
        <v>1763874</v>
      </c>
      <c r="F42" s="304" t="e">
        <f>F13+F26+#REF!+F29+#REF!</f>
        <v>#REF!</v>
      </c>
      <c r="G42" s="304" t="e">
        <f>G13+G26+#REF!+G29+#REF!</f>
        <v>#REF!</v>
      </c>
      <c r="H42" s="304" t="e">
        <f>H13+H26+#REF!+H29+#REF!</f>
        <v>#REF!</v>
      </c>
      <c r="I42" s="304" t="e">
        <f>I13+I26+#REF!+I29+#REF!</f>
        <v>#REF!</v>
      </c>
      <c r="J42" s="304" t="e">
        <f>J13+J26+#REF!+J29+#REF!</f>
        <v>#REF!</v>
      </c>
      <c r="K42" s="304" t="e">
        <f>K13+K26+#REF!+K29+#REF!</f>
        <v>#REF!</v>
      </c>
      <c r="L42" s="304" t="e">
        <f>L13+L26+#REF!+L29+#REF!</f>
        <v>#REF!</v>
      </c>
      <c r="M42" s="304" t="e">
        <f>M13+M26+#REF!+M29+#REF!</f>
        <v>#REF!</v>
      </c>
      <c r="N42" s="304" t="e">
        <f>N13+N26+#REF!+N29+#REF!</f>
        <v>#REF!</v>
      </c>
      <c r="O42" s="304" t="e">
        <f>O13+O26+#REF!+O29+#REF!</f>
        <v>#REF!</v>
      </c>
      <c r="P42" s="304" t="e">
        <f>P13+P26+#REF!+P29+#REF!</f>
        <v>#REF!</v>
      </c>
      <c r="Q42" s="304" t="e">
        <f>Q13+Q26+#REF!+Q29+#REF!</f>
        <v>#REF!</v>
      </c>
      <c r="R42" s="304" t="e">
        <f>R13+R26+#REF!+R29+#REF!</f>
        <v>#REF!</v>
      </c>
      <c r="S42" s="304" t="e">
        <f>S13+S26+#REF!+S29+#REF!</f>
        <v>#REF!</v>
      </c>
      <c r="T42" s="304" t="e">
        <f>T13+T26+#REF!+T29+#REF!</f>
        <v>#REF!</v>
      </c>
      <c r="U42" s="304" t="e">
        <f>U13+U26+#REF!+U29+#REF!</f>
        <v>#REF!</v>
      </c>
      <c r="V42" s="377"/>
      <c r="W42" s="378"/>
      <c r="X42" s="305"/>
      <c r="Y42" s="306">
        <f>Y13+Y26+Y29+Y17+Y8</f>
        <v>1763874</v>
      </c>
    </row>
    <row r="43" spans="5:25" s="4" customFormat="1" ht="12.75">
      <c r="E43" s="115"/>
      <c r="F43" s="253"/>
      <c r="G43" s="253"/>
      <c r="H43" s="253"/>
      <c r="I43" s="253"/>
      <c r="Y43" s="239"/>
    </row>
    <row r="44" spans="5:25" s="4" customFormat="1" ht="12.75">
      <c r="E44" s="116"/>
      <c r="F44" s="308"/>
      <c r="G44" s="308"/>
      <c r="H44" s="308"/>
      <c r="I44" s="308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Y44" s="239"/>
    </row>
    <row r="45" spans="5:25" s="4" customFormat="1" ht="12.75">
      <c r="E45" s="116"/>
      <c r="F45" s="308"/>
      <c r="G45" s="308"/>
      <c r="H45" s="308"/>
      <c r="I45" s="308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Y45" s="239"/>
    </row>
    <row r="46" spans="5:25" s="4" customFormat="1" ht="12.75">
      <c r="E46" s="115"/>
      <c r="F46" s="253"/>
      <c r="G46" s="253"/>
      <c r="H46" s="253"/>
      <c r="I46" s="253"/>
      <c r="Y46" s="239"/>
    </row>
    <row r="47" spans="5:25" s="4" customFormat="1" ht="12.75">
      <c r="E47" s="115"/>
      <c r="F47" s="253"/>
      <c r="G47" s="253"/>
      <c r="H47" s="253"/>
      <c r="I47" s="253"/>
      <c r="Y47" s="239"/>
    </row>
    <row r="48" spans="5:25" s="4" customFormat="1" ht="12.75">
      <c r="E48" s="115"/>
      <c r="F48" s="253"/>
      <c r="G48" s="253"/>
      <c r="H48" s="253"/>
      <c r="I48" s="253"/>
      <c r="Y48" s="239"/>
    </row>
    <row r="49" spans="5:25" s="4" customFormat="1" ht="12.75">
      <c r="E49" s="115"/>
      <c r="F49" s="253"/>
      <c r="G49" s="253"/>
      <c r="H49" s="253"/>
      <c r="I49" s="253"/>
      <c r="Y49" s="239"/>
    </row>
    <row r="50" spans="5:25" s="4" customFormat="1" ht="12.75">
      <c r="E50" s="115"/>
      <c r="F50" s="253"/>
      <c r="G50" s="253"/>
      <c r="H50" s="253"/>
      <c r="I50" s="253"/>
      <c r="Y50" s="239"/>
    </row>
    <row r="51" ht="12.75">
      <c r="Y51" s="309"/>
    </row>
    <row r="52" ht="12.75">
      <c r="Y52" s="309"/>
    </row>
    <row r="53" ht="12.75">
      <c r="Y53" s="309"/>
    </row>
    <row r="54" ht="12.75">
      <c r="Y54" s="309"/>
    </row>
    <row r="55" ht="12.75">
      <c r="Y55" s="309"/>
    </row>
    <row r="56" ht="12.75">
      <c r="Y56" s="309"/>
    </row>
    <row r="57" ht="12.75">
      <c r="Y57" s="309"/>
    </row>
    <row r="58" ht="12.75">
      <c r="Y58" s="309"/>
    </row>
    <row r="59" ht="12.75">
      <c r="Y59" s="309"/>
    </row>
    <row r="60" ht="12.75">
      <c r="Y60" s="309"/>
    </row>
    <row r="61" ht="12.75">
      <c r="Y61" s="309"/>
    </row>
    <row r="62" ht="12.75">
      <c r="Y62" s="309"/>
    </row>
    <row r="63" ht="12.75">
      <c r="Y63" s="309"/>
    </row>
    <row r="64" ht="12.75">
      <c r="Y64" s="309"/>
    </row>
    <row r="65" ht="12.75">
      <c r="Y65" s="309"/>
    </row>
    <row r="66" ht="12.75">
      <c r="Y66" s="309"/>
    </row>
    <row r="67" ht="12.75">
      <c r="Y67" s="309"/>
    </row>
    <row r="68" ht="12.75">
      <c r="Y68" s="309"/>
    </row>
    <row r="69" ht="12.75">
      <c r="Y69" s="309"/>
    </row>
    <row r="70" ht="12.75">
      <c r="Y70" s="309"/>
    </row>
    <row r="71" ht="12.75">
      <c r="Y71" s="309"/>
    </row>
    <row r="72" ht="12.75">
      <c r="Y72" s="309"/>
    </row>
    <row r="73" ht="12.75">
      <c r="Y73" s="309"/>
    </row>
  </sheetData>
  <sheetProtection/>
  <mergeCells count="33">
    <mergeCell ref="V31:V37"/>
    <mergeCell ref="A38:B38"/>
    <mergeCell ref="A39:B39"/>
    <mergeCell ref="A40:B40"/>
    <mergeCell ref="A41:B41"/>
    <mergeCell ref="A42:B42"/>
    <mergeCell ref="V42:W42"/>
    <mergeCell ref="E21:E25"/>
    <mergeCell ref="A27:B27"/>
    <mergeCell ref="A28:B28"/>
    <mergeCell ref="A30:B30"/>
    <mergeCell ref="A31:B37"/>
    <mergeCell ref="C31:C37"/>
    <mergeCell ref="D31:D37"/>
    <mergeCell ref="E31:E37"/>
    <mergeCell ref="X1:Y2"/>
    <mergeCell ref="A3:Y3"/>
    <mergeCell ref="A4:Y4"/>
    <mergeCell ref="C10:C12"/>
    <mergeCell ref="D10:D12"/>
    <mergeCell ref="A20:B20"/>
    <mergeCell ref="E10:E12"/>
    <mergeCell ref="A14:B14"/>
    <mergeCell ref="A15:B16"/>
    <mergeCell ref="C15:C16"/>
    <mergeCell ref="D15:D16"/>
    <mergeCell ref="E15:E16"/>
    <mergeCell ref="V15:V16"/>
    <mergeCell ref="A18:B18"/>
    <mergeCell ref="A19:B19"/>
    <mergeCell ref="A21:B25"/>
    <mergeCell ref="C21:C25"/>
    <mergeCell ref="D21:D25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150" zoomScaleNormal="150"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14.57421875" style="0" customWidth="1"/>
    <col min="4" max="4" width="14.57421875" style="311" customWidth="1"/>
    <col min="5" max="6" width="14.57421875" style="0" customWidth="1"/>
    <col min="7" max="7" width="10.57421875" style="311" hidden="1" customWidth="1"/>
    <col min="8" max="8" width="12.8515625" style="0" hidden="1" customWidth="1"/>
    <col min="9" max="9" width="43.8515625" style="0" customWidth="1"/>
    <col min="10" max="10" width="14.7109375" style="0" customWidth="1"/>
    <col min="11" max="11" width="12.7109375" style="0" bestFit="1" customWidth="1"/>
    <col min="13" max="13" width="12.00390625" style="0" customWidth="1"/>
  </cols>
  <sheetData>
    <row r="1" spans="3:9" ht="12.75">
      <c r="C1" s="119"/>
      <c r="D1" s="310"/>
      <c r="E1" s="119"/>
      <c r="F1" s="119"/>
      <c r="G1" s="310"/>
      <c r="H1" s="119"/>
      <c r="I1" s="119"/>
    </row>
    <row r="2" spans="3:11" ht="17.25" customHeight="1">
      <c r="C2" s="119"/>
      <c r="D2" s="310"/>
      <c r="E2" s="119"/>
      <c r="F2" s="119"/>
      <c r="G2" s="119"/>
      <c r="H2" s="119"/>
      <c r="I2" s="119"/>
      <c r="K2" s="414"/>
    </row>
    <row r="3" spans="3:11" ht="24" customHeight="1">
      <c r="C3" s="119"/>
      <c r="D3" s="310"/>
      <c r="E3" s="119"/>
      <c r="F3" s="166"/>
      <c r="G3" s="119"/>
      <c r="H3" s="119"/>
      <c r="I3" s="202" t="s">
        <v>491</v>
      </c>
      <c r="J3" s="202"/>
      <c r="K3" s="414"/>
    </row>
    <row r="4" spans="1:10" ht="20.25">
      <c r="A4" s="415" t="s">
        <v>270</v>
      </c>
      <c r="B4" s="415"/>
      <c r="C4" s="415"/>
      <c r="D4" s="415"/>
      <c r="E4" s="415"/>
      <c r="F4" s="415"/>
      <c r="I4" s="202"/>
      <c r="J4" s="202"/>
    </row>
    <row r="5" spans="1:9" ht="12.75">
      <c r="A5" s="221"/>
      <c r="B5" s="220"/>
      <c r="C5" s="220"/>
      <c r="D5" s="312"/>
      <c r="E5" s="220"/>
      <c r="F5" s="252"/>
      <c r="G5" s="313"/>
      <c r="H5" s="252"/>
      <c r="I5" s="252"/>
    </row>
    <row r="6" spans="1:9" ht="12.75">
      <c r="A6" s="221"/>
      <c r="B6" s="220"/>
      <c r="C6" s="220"/>
      <c r="D6" s="312"/>
      <c r="E6" s="220"/>
      <c r="F6" s="220"/>
      <c r="G6" s="312"/>
      <c r="H6" s="220"/>
      <c r="I6" s="220"/>
    </row>
    <row r="7" spans="1:9" ht="42.75">
      <c r="A7" s="314" t="s">
        <v>17</v>
      </c>
      <c r="B7" s="314" t="s">
        <v>271</v>
      </c>
      <c r="C7" s="315" t="s">
        <v>272</v>
      </c>
      <c r="D7" s="316" t="s">
        <v>273</v>
      </c>
      <c r="E7" s="315" t="s">
        <v>274</v>
      </c>
      <c r="F7" s="315" t="s">
        <v>275</v>
      </c>
      <c r="G7" s="316" t="s">
        <v>273</v>
      </c>
      <c r="H7" s="315" t="s">
        <v>276</v>
      </c>
      <c r="I7" s="315" t="s">
        <v>20</v>
      </c>
    </row>
    <row r="8" spans="1:9" ht="12.75">
      <c r="A8" s="317"/>
      <c r="B8" s="317"/>
      <c r="C8" s="317"/>
      <c r="D8" s="318"/>
      <c r="E8" s="319"/>
      <c r="F8" s="319"/>
      <c r="G8" s="318"/>
      <c r="H8" s="319"/>
      <c r="I8" s="319"/>
    </row>
    <row r="9" spans="1:9" ht="47.25" customHeight="1">
      <c r="A9" s="320">
        <v>952</v>
      </c>
      <c r="B9" s="299" t="s">
        <v>277</v>
      </c>
      <c r="C9" s="300">
        <v>800000</v>
      </c>
      <c r="D9" s="321">
        <v>-333000</v>
      </c>
      <c r="E9" s="281">
        <f>C9+D9</f>
        <v>467000</v>
      </c>
      <c r="F9" s="322"/>
      <c r="G9" s="323"/>
      <c r="H9" s="322"/>
      <c r="I9" s="324" t="s">
        <v>278</v>
      </c>
    </row>
    <row r="10" spans="1:9" s="327" customFormat="1" ht="32.25" customHeight="1">
      <c r="A10" s="320">
        <v>955</v>
      </c>
      <c r="B10" s="299" t="s">
        <v>279</v>
      </c>
      <c r="C10" s="300">
        <v>696988</v>
      </c>
      <c r="D10" s="325"/>
      <c r="E10" s="281">
        <f>C10+D10</f>
        <v>696988</v>
      </c>
      <c r="F10" s="299"/>
      <c r="G10" s="326"/>
      <c r="H10" s="299"/>
      <c r="I10" s="324"/>
    </row>
    <row r="11" spans="1:9" s="327" customFormat="1" ht="13.5" customHeight="1">
      <c r="A11" s="328"/>
      <c r="B11" s="329"/>
      <c r="C11" s="330"/>
      <c r="D11" s="331"/>
      <c r="E11" s="330"/>
      <c r="F11" s="330"/>
      <c r="G11" s="331"/>
      <c r="H11" s="330"/>
      <c r="I11" s="330"/>
    </row>
    <row r="12" spans="1:9" s="336" customFormat="1" ht="38.25">
      <c r="A12" s="177">
        <v>992</v>
      </c>
      <c r="B12" s="11" t="s">
        <v>280</v>
      </c>
      <c r="C12" s="332"/>
      <c r="D12" s="333"/>
      <c r="E12" s="332"/>
      <c r="F12" s="284">
        <v>382565</v>
      </c>
      <c r="G12" s="334"/>
      <c r="H12" s="284">
        <f>F12+G12</f>
        <v>382565</v>
      </c>
      <c r="I12" s="335"/>
    </row>
    <row r="13" spans="1:9" s="340" customFormat="1" ht="57.75" customHeight="1" hidden="1">
      <c r="A13" s="177">
        <v>963</v>
      </c>
      <c r="B13" s="11" t="s">
        <v>281</v>
      </c>
      <c r="C13" s="337"/>
      <c r="D13" s="338"/>
      <c r="E13" s="337"/>
      <c r="F13" s="284"/>
      <c r="G13" s="282"/>
      <c r="H13" s="284">
        <f>F13+G13</f>
        <v>0</v>
      </c>
      <c r="I13" s="339"/>
    </row>
    <row r="14" spans="1:9" s="327" customFormat="1" ht="12.75">
      <c r="A14" s="341"/>
      <c r="B14" s="342"/>
      <c r="C14" s="343"/>
      <c r="D14" s="344"/>
      <c r="E14" s="343"/>
      <c r="F14" s="343"/>
      <c r="G14" s="344"/>
      <c r="H14" s="343"/>
      <c r="I14" s="343"/>
    </row>
    <row r="15" spans="1:9" ht="24.75" customHeight="1">
      <c r="A15" s="345"/>
      <c r="B15" s="345"/>
      <c r="C15" s="346">
        <f>SUM(C9:C10)</f>
        <v>1496988</v>
      </c>
      <c r="D15" s="453">
        <f>SUM(D9:D10)</f>
        <v>-333000</v>
      </c>
      <c r="E15" s="346">
        <f>SUM(E9:E10)</f>
        <v>1163988</v>
      </c>
      <c r="F15" s="346">
        <f>SUM(F11:F13)</f>
        <v>382565</v>
      </c>
      <c r="G15" s="347">
        <f>SUM(G11:G13)</f>
        <v>0</v>
      </c>
      <c r="H15" s="346">
        <f>SUM(H11:H13)</f>
        <v>382565</v>
      </c>
      <c r="I15" s="348"/>
    </row>
    <row r="16" ht="12.75">
      <c r="I16" s="202"/>
    </row>
  </sheetData>
  <sheetProtection/>
  <mergeCells count="2">
    <mergeCell ref="K2:K3"/>
    <mergeCell ref="A4:F4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64"/>
  <sheetViews>
    <sheetView zoomScalePageLayoutView="0" workbookViewId="0" topLeftCell="A118">
      <selection activeCell="A118" sqref="A1:IV16384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11.8515625" style="0" hidden="1" customWidth="1"/>
    <col min="10" max="11" width="25.140625" style="0" hidden="1" customWidth="1"/>
    <col min="12" max="12" width="25.140625" style="0" customWidth="1"/>
  </cols>
  <sheetData>
    <row r="2" spans="10:12" ht="18">
      <c r="J2" s="349">
        <v>2005</v>
      </c>
      <c r="K2" s="350">
        <v>2005</v>
      </c>
      <c r="L2" s="350" t="s">
        <v>282</v>
      </c>
    </row>
    <row r="4" spans="2:12" ht="15">
      <c r="B4" s="351" t="s">
        <v>283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2:12" ht="15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2:12" ht="15">
      <c r="B6" s="352" t="s">
        <v>284</v>
      </c>
      <c r="C6" s="352"/>
      <c r="D6" s="352"/>
      <c r="E6" s="352"/>
      <c r="F6" s="352"/>
      <c r="G6" s="353"/>
      <c r="H6" s="352"/>
      <c r="I6" s="352"/>
      <c r="J6" s="354">
        <v>1255722</v>
      </c>
      <c r="K6" s="354">
        <v>1255722</v>
      </c>
      <c r="L6" s="354">
        <v>2847179.73</v>
      </c>
    </row>
    <row r="7" spans="2:12" ht="15">
      <c r="B7" s="352" t="s">
        <v>285</v>
      </c>
      <c r="C7" s="352"/>
      <c r="D7" s="352"/>
      <c r="E7" s="352"/>
      <c r="F7" s="352"/>
      <c r="G7" s="352"/>
      <c r="H7" s="352"/>
      <c r="I7" s="352"/>
      <c r="J7" s="354"/>
      <c r="K7" s="354">
        <v>2850000</v>
      </c>
      <c r="L7" s="354">
        <v>467000</v>
      </c>
    </row>
    <row r="8" spans="2:12" ht="15">
      <c r="B8" s="352" t="s">
        <v>286</v>
      </c>
      <c r="C8" s="352"/>
      <c r="D8" s="352"/>
      <c r="E8" s="352"/>
      <c r="F8" s="355"/>
      <c r="G8" s="352"/>
      <c r="H8" s="352"/>
      <c r="I8" s="352"/>
      <c r="J8" s="356">
        <f>J9+J10</f>
        <v>624849</v>
      </c>
      <c r="K8" s="356">
        <f>K9+K10</f>
        <v>624849</v>
      </c>
      <c r="L8" s="356">
        <f>L9+L10</f>
        <v>557708.04</v>
      </c>
    </row>
    <row r="9" spans="2:12" ht="15">
      <c r="B9" s="352"/>
      <c r="C9" s="352"/>
      <c r="D9" s="352"/>
      <c r="E9" s="352"/>
      <c r="F9" s="357" t="s">
        <v>287</v>
      </c>
      <c r="G9" s="358" t="s">
        <v>288</v>
      </c>
      <c r="H9" s="352"/>
      <c r="I9" s="352"/>
      <c r="J9" s="354">
        <v>407625</v>
      </c>
      <c r="K9" s="354">
        <v>407625</v>
      </c>
      <c r="L9" s="354">
        <v>382564.04</v>
      </c>
    </row>
    <row r="10" spans="2:12" ht="15">
      <c r="B10" s="352"/>
      <c r="C10" s="352"/>
      <c r="D10" s="352"/>
      <c r="E10" s="352"/>
      <c r="F10" s="357" t="s">
        <v>289</v>
      </c>
      <c r="G10" s="358" t="s">
        <v>290</v>
      </c>
      <c r="H10" s="352"/>
      <c r="I10" s="352"/>
      <c r="J10" s="354">
        <v>217224</v>
      </c>
      <c r="K10" s="354">
        <v>217224</v>
      </c>
      <c r="L10" s="354">
        <v>175144</v>
      </c>
    </row>
    <row r="11" spans="2:12" ht="15">
      <c r="B11" s="352" t="s">
        <v>291</v>
      </c>
      <c r="C11" s="352"/>
      <c r="D11" s="352"/>
      <c r="E11" s="352"/>
      <c r="F11" s="352"/>
      <c r="G11" s="352"/>
      <c r="H11" s="352"/>
      <c r="I11" s="352"/>
      <c r="J11" s="354">
        <f>J6+J7-J9</f>
        <v>848097</v>
      </c>
      <c r="K11" s="354">
        <f>K6+K7-K9</f>
        <v>3698097</v>
      </c>
      <c r="L11" s="354">
        <f>L6+L7-L9</f>
        <v>2931615.69</v>
      </c>
    </row>
    <row r="12" spans="2:12" ht="15">
      <c r="B12" s="352" t="s">
        <v>292</v>
      </c>
      <c r="C12" s="352"/>
      <c r="D12" s="352"/>
      <c r="E12" s="352"/>
      <c r="F12" s="352"/>
      <c r="G12" s="352"/>
      <c r="H12" s="352"/>
      <c r="I12" s="352"/>
      <c r="J12" s="354">
        <v>13000000</v>
      </c>
      <c r="K12" s="354">
        <v>13500000</v>
      </c>
      <c r="L12" s="354">
        <v>18368180</v>
      </c>
    </row>
    <row r="13" spans="2:12" ht="15">
      <c r="B13" s="352" t="s">
        <v>293</v>
      </c>
      <c r="C13" s="352"/>
      <c r="D13" s="352"/>
      <c r="E13" s="352"/>
      <c r="F13" s="352"/>
      <c r="G13" s="352"/>
      <c r="H13" s="352"/>
      <c r="I13" s="352"/>
      <c r="J13" s="354"/>
      <c r="K13" s="354"/>
      <c r="L13" s="354"/>
    </row>
    <row r="14" spans="2:14" ht="15">
      <c r="B14" s="352" t="s">
        <v>294</v>
      </c>
      <c r="C14" s="352"/>
      <c r="D14" s="352"/>
      <c r="E14" s="352"/>
      <c r="F14" s="352"/>
      <c r="G14" s="352"/>
      <c r="H14" s="352"/>
      <c r="I14" s="352"/>
      <c r="J14" s="359">
        <f>J8/J12</f>
        <v>0.04806530769230769</v>
      </c>
      <c r="K14" s="359">
        <f>K8/K12</f>
        <v>0.04628511111111111</v>
      </c>
      <c r="L14" s="359">
        <f>L8/L12</f>
        <v>0.03036272728163596</v>
      </c>
      <c r="N14" s="360"/>
    </row>
    <row r="15" spans="2:12" ht="15">
      <c r="B15" s="352" t="s">
        <v>295</v>
      </c>
      <c r="C15" s="352"/>
      <c r="D15" s="352"/>
      <c r="E15" s="352"/>
      <c r="F15" s="352"/>
      <c r="G15" s="352"/>
      <c r="H15" s="352"/>
      <c r="I15" s="352"/>
      <c r="J15" s="354"/>
      <c r="K15" s="354"/>
      <c r="L15" s="354"/>
    </row>
    <row r="16" spans="2:12" ht="15">
      <c r="B16" s="352" t="s">
        <v>296</v>
      </c>
      <c r="C16" s="352"/>
      <c r="D16" s="352"/>
      <c r="E16" s="352"/>
      <c r="F16" s="352"/>
      <c r="G16" s="352"/>
      <c r="H16" s="352"/>
      <c r="I16" s="352"/>
      <c r="J16" s="359">
        <f>J11/J12</f>
        <v>0.06523823076923077</v>
      </c>
      <c r="K16" s="359">
        <f>K11/K12</f>
        <v>0.2739331111111111</v>
      </c>
      <c r="L16" s="359">
        <f>L11/L12</f>
        <v>0.15960294868626068</v>
      </c>
    </row>
    <row r="17" spans="2:12" ht="15">
      <c r="B17" s="352"/>
      <c r="C17" s="352"/>
      <c r="D17" s="352"/>
      <c r="E17" s="352"/>
      <c r="F17" s="352"/>
      <c r="G17" s="352"/>
      <c r="H17" s="352"/>
      <c r="I17" s="352"/>
      <c r="J17" s="354"/>
      <c r="K17" s="354"/>
      <c r="L17" s="354"/>
    </row>
    <row r="18" spans="2:12" ht="15">
      <c r="B18" s="351" t="s">
        <v>297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</row>
    <row r="19" spans="2:12" ht="15"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</row>
    <row r="20" spans="2:12" ht="15">
      <c r="B20" s="352" t="s">
        <v>298</v>
      </c>
      <c r="C20" s="352"/>
      <c r="D20" s="352"/>
      <c r="E20" s="352"/>
      <c r="F20" s="352"/>
      <c r="G20" s="352"/>
      <c r="H20" s="353"/>
      <c r="I20" s="352"/>
      <c r="J20" s="354">
        <f>J11</f>
        <v>848097</v>
      </c>
      <c r="K20" s="354">
        <f>K11</f>
        <v>3698097</v>
      </c>
      <c r="L20" s="354">
        <f>L11</f>
        <v>2931615.69</v>
      </c>
    </row>
    <row r="21" spans="2:12" ht="15">
      <c r="B21" s="352" t="s">
        <v>285</v>
      </c>
      <c r="C21" s="352"/>
      <c r="D21" s="352"/>
      <c r="E21" s="352"/>
      <c r="F21" s="352"/>
      <c r="G21" s="352"/>
      <c r="H21" s="352"/>
      <c r="I21" s="352"/>
      <c r="J21" s="354">
        <v>0</v>
      </c>
      <c r="K21" s="354">
        <v>0</v>
      </c>
      <c r="L21" s="354">
        <v>0</v>
      </c>
    </row>
    <row r="22" spans="2:12" ht="15">
      <c r="B22" s="352" t="s">
        <v>286</v>
      </c>
      <c r="C22" s="352"/>
      <c r="D22" s="352"/>
      <c r="E22" s="352"/>
      <c r="F22" s="352"/>
      <c r="G22" s="352"/>
      <c r="H22" s="352"/>
      <c r="I22" s="352"/>
      <c r="J22" s="356">
        <f>J23+J24</f>
        <v>274844</v>
      </c>
      <c r="K22" s="356">
        <f>K23+K24</f>
        <v>739844</v>
      </c>
      <c r="L22" s="356">
        <f>L23+L24</f>
        <v>609028.04</v>
      </c>
    </row>
    <row r="23" spans="2:12" ht="15">
      <c r="B23" s="352"/>
      <c r="C23" s="352"/>
      <c r="D23" s="352"/>
      <c r="E23" s="352"/>
      <c r="F23" s="357" t="s">
        <v>287</v>
      </c>
      <c r="G23" s="358" t="s">
        <v>288</v>
      </c>
      <c r="H23" s="352"/>
      <c r="I23" s="352"/>
      <c r="J23" s="354">
        <v>133790</v>
      </c>
      <c r="K23" s="354">
        <f>133790+310000</f>
        <v>443790</v>
      </c>
      <c r="L23" s="354">
        <f>382564.04+40000</f>
        <v>422564.04</v>
      </c>
    </row>
    <row r="24" spans="2:12" ht="15">
      <c r="B24" s="352"/>
      <c r="C24" s="352"/>
      <c r="D24" s="352"/>
      <c r="E24" s="352"/>
      <c r="F24" s="357" t="s">
        <v>289</v>
      </c>
      <c r="G24" s="358" t="s">
        <v>290</v>
      </c>
      <c r="H24" s="352"/>
      <c r="I24" s="352"/>
      <c r="J24" s="354">
        <v>141054</v>
      </c>
      <c r="K24" s="354">
        <f>141054+155000</f>
        <v>296054</v>
      </c>
      <c r="L24" s="354">
        <f>129464+57000</f>
        <v>186464</v>
      </c>
    </row>
    <row r="25" spans="2:12" ht="15">
      <c r="B25" s="352" t="s">
        <v>299</v>
      </c>
      <c r="C25" s="352"/>
      <c r="D25" s="352"/>
      <c r="E25" s="352"/>
      <c r="F25" s="352"/>
      <c r="G25" s="352"/>
      <c r="H25" s="352"/>
      <c r="I25" s="352"/>
      <c r="J25" s="354">
        <f>J20+J21-J23</f>
        <v>714307</v>
      </c>
      <c r="K25" s="354">
        <f>K20+K21-K23</f>
        <v>3254307</v>
      </c>
      <c r="L25" s="354">
        <f>L20+L21-L23</f>
        <v>2509051.65</v>
      </c>
    </row>
    <row r="26" spans="2:12" ht="15">
      <c r="B26" s="352" t="s">
        <v>300</v>
      </c>
      <c r="C26" s="352"/>
      <c r="D26" s="352"/>
      <c r="E26" s="352"/>
      <c r="F26" s="352"/>
      <c r="G26" s="352"/>
      <c r="H26" s="352"/>
      <c r="I26" s="352"/>
      <c r="J26" s="354">
        <v>13000000</v>
      </c>
      <c r="K26" s="354">
        <v>13500000</v>
      </c>
      <c r="L26" s="354">
        <v>16000000</v>
      </c>
    </row>
    <row r="27" spans="2:12" ht="15">
      <c r="B27" s="352" t="s">
        <v>293</v>
      </c>
      <c r="C27" s="352"/>
      <c r="D27" s="352"/>
      <c r="E27" s="352"/>
      <c r="F27" s="352"/>
      <c r="G27" s="352"/>
      <c r="H27" s="352"/>
      <c r="I27" s="352"/>
      <c r="J27" s="354"/>
      <c r="K27" s="354"/>
      <c r="L27" s="354"/>
    </row>
    <row r="28" spans="2:12" ht="15">
      <c r="B28" s="352" t="s">
        <v>301</v>
      </c>
      <c r="C28" s="352"/>
      <c r="D28" s="352"/>
      <c r="E28" s="352"/>
      <c r="F28" s="352"/>
      <c r="G28" s="352"/>
      <c r="H28" s="352"/>
      <c r="I28" s="352"/>
      <c r="J28" s="359">
        <f>J22/J26</f>
        <v>0.021141846153846153</v>
      </c>
      <c r="K28" s="359">
        <f>K22/K26</f>
        <v>0.05480325925925926</v>
      </c>
      <c r="L28" s="359">
        <f>L22/L26</f>
        <v>0.0380642525</v>
      </c>
    </row>
    <row r="29" spans="2:12" ht="15">
      <c r="B29" s="352" t="s">
        <v>295</v>
      </c>
      <c r="C29" s="352"/>
      <c r="D29" s="352"/>
      <c r="E29" s="352"/>
      <c r="F29" s="352"/>
      <c r="G29" s="352"/>
      <c r="H29" s="352"/>
      <c r="I29" s="352"/>
      <c r="J29" s="354"/>
      <c r="K29" s="354"/>
      <c r="L29" s="354"/>
    </row>
    <row r="30" spans="2:12" ht="15">
      <c r="B30" s="352" t="s">
        <v>296</v>
      </c>
      <c r="C30" s="352"/>
      <c r="D30" s="352"/>
      <c r="E30" s="352"/>
      <c r="F30" s="352"/>
      <c r="G30" s="352"/>
      <c r="H30" s="352"/>
      <c r="I30" s="352"/>
      <c r="J30" s="359">
        <f>J25/J26</f>
        <v>0.05494669230769231</v>
      </c>
      <c r="K30" s="359">
        <f>K25/K26</f>
        <v>0.2410597777777778</v>
      </c>
      <c r="L30" s="359">
        <f>L25/L26</f>
        <v>0.156815728125</v>
      </c>
    </row>
    <row r="31" spans="2:12" ht="15"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</row>
    <row r="32" spans="2:12" ht="15">
      <c r="B32" s="351" t="s">
        <v>302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</row>
    <row r="33" spans="2:12" ht="15"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</row>
    <row r="34" spans="2:12" ht="15">
      <c r="B34" s="352" t="s">
        <v>298</v>
      </c>
      <c r="C34" s="352"/>
      <c r="D34" s="352"/>
      <c r="E34" s="352"/>
      <c r="F34" s="352"/>
      <c r="G34" s="352"/>
      <c r="H34" s="353"/>
      <c r="I34" s="352"/>
      <c r="J34" s="354">
        <f>J25</f>
        <v>714307</v>
      </c>
      <c r="K34" s="354">
        <f>K25</f>
        <v>3254307</v>
      </c>
      <c r="L34" s="354">
        <f>L25</f>
        <v>2509051.65</v>
      </c>
    </row>
    <row r="35" spans="2:12" ht="15">
      <c r="B35" s="352" t="s">
        <v>285</v>
      </c>
      <c r="C35" s="352"/>
      <c r="D35" s="352"/>
      <c r="E35" s="352"/>
      <c r="F35" s="352"/>
      <c r="G35" s="352"/>
      <c r="H35" s="352"/>
      <c r="I35" s="352"/>
      <c r="J35" s="354">
        <v>0</v>
      </c>
      <c r="K35" s="354">
        <v>0</v>
      </c>
      <c r="L35" s="354">
        <v>0</v>
      </c>
    </row>
    <row r="36" spans="2:12" ht="15">
      <c r="B36" s="352" t="s">
        <v>286</v>
      </c>
      <c r="C36" s="352"/>
      <c r="D36" s="352"/>
      <c r="E36" s="352"/>
      <c r="F36" s="352"/>
      <c r="G36" s="352"/>
      <c r="H36" s="352"/>
      <c r="I36" s="352"/>
      <c r="J36" s="356">
        <f>J37+J38</f>
        <v>236314</v>
      </c>
      <c r="K36" s="356">
        <f>K37+K38</f>
        <v>696314</v>
      </c>
      <c r="L36" s="356">
        <f>L37+L38</f>
        <v>573655.04</v>
      </c>
    </row>
    <row r="37" spans="2:12" ht="15">
      <c r="B37" s="352"/>
      <c r="C37" s="352"/>
      <c r="D37" s="352"/>
      <c r="E37" s="352"/>
      <c r="F37" s="357" t="s">
        <v>287</v>
      </c>
      <c r="G37" s="358" t="s">
        <v>288</v>
      </c>
      <c r="H37" s="352"/>
      <c r="I37" s="352"/>
      <c r="J37" s="354">
        <v>102565</v>
      </c>
      <c r="K37" s="354">
        <f>102565+310000</f>
        <v>412565</v>
      </c>
      <c r="L37" s="354">
        <f>382564.04+40000</f>
        <v>422564.04</v>
      </c>
    </row>
    <row r="38" spans="2:12" ht="15">
      <c r="B38" s="352"/>
      <c r="C38" s="352"/>
      <c r="D38" s="352"/>
      <c r="E38" s="352"/>
      <c r="F38" s="357" t="s">
        <v>289</v>
      </c>
      <c r="G38" s="358" t="s">
        <v>290</v>
      </c>
      <c r="H38" s="352"/>
      <c r="I38" s="352"/>
      <c r="J38" s="354">
        <v>133749</v>
      </c>
      <c r="K38" s="354">
        <f>133749+150000</f>
        <v>283749</v>
      </c>
      <c r="L38" s="354">
        <f>111091+40000</f>
        <v>151091</v>
      </c>
    </row>
    <row r="39" spans="2:12" ht="15">
      <c r="B39" s="352" t="s">
        <v>303</v>
      </c>
      <c r="C39" s="352"/>
      <c r="D39" s="352"/>
      <c r="E39" s="352"/>
      <c r="F39" s="352"/>
      <c r="G39" s="352"/>
      <c r="H39" s="352"/>
      <c r="I39" s="352"/>
      <c r="J39" s="354">
        <f>J34+J35-J37</f>
        <v>611742</v>
      </c>
      <c r="K39" s="354">
        <f>K34+K35-K37</f>
        <v>2841742</v>
      </c>
      <c r="L39" s="354">
        <f>L34+L35-L37</f>
        <v>2086487.6099999999</v>
      </c>
    </row>
    <row r="40" spans="2:12" ht="15">
      <c r="B40" s="352" t="s">
        <v>304</v>
      </c>
      <c r="C40" s="352"/>
      <c r="D40" s="352"/>
      <c r="E40" s="352"/>
      <c r="F40" s="352"/>
      <c r="G40" s="352"/>
      <c r="H40" s="352"/>
      <c r="I40" s="352"/>
      <c r="J40" s="354">
        <v>13000000</v>
      </c>
      <c r="K40" s="354">
        <v>13500000</v>
      </c>
      <c r="L40" s="354">
        <v>16000000</v>
      </c>
    </row>
    <row r="41" spans="2:12" ht="15">
      <c r="B41" s="352" t="s">
        <v>293</v>
      </c>
      <c r="C41" s="352"/>
      <c r="D41" s="352"/>
      <c r="E41" s="352"/>
      <c r="F41" s="352"/>
      <c r="G41" s="352"/>
      <c r="H41" s="352"/>
      <c r="I41" s="352"/>
      <c r="J41" s="354"/>
      <c r="K41" s="354"/>
      <c r="L41" s="354"/>
    </row>
    <row r="42" spans="2:12" ht="15">
      <c r="B42" s="352" t="s">
        <v>305</v>
      </c>
      <c r="C42" s="352"/>
      <c r="D42" s="352"/>
      <c r="E42" s="352"/>
      <c r="F42" s="352"/>
      <c r="G42" s="352"/>
      <c r="H42" s="352"/>
      <c r="I42" s="352"/>
      <c r="J42" s="359">
        <f>J36/J40</f>
        <v>0.018178</v>
      </c>
      <c r="K42" s="359">
        <f>K36/K40</f>
        <v>0.05157881481481481</v>
      </c>
      <c r="L42" s="359">
        <f>L36/L40</f>
        <v>0.03585344</v>
      </c>
    </row>
    <row r="43" spans="2:12" ht="15">
      <c r="B43" s="352" t="s">
        <v>295</v>
      </c>
      <c r="C43" s="352"/>
      <c r="D43" s="352"/>
      <c r="E43" s="352"/>
      <c r="F43" s="352"/>
      <c r="G43" s="352"/>
      <c r="H43" s="352"/>
      <c r="I43" s="352"/>
      <c r="J43" s="354"/>
      <c r="K43" s="354"/>
      <c r="L43" s="354"/>
    </row>
    <row r="44" spans="2:12" ht="15">
      <c r="B44" s="352" t="s">
        <v>296</v>
      </c>
      <c r="C44" s="352"/>
      <c r="D44" s="352"/>
      <c r="E44" s="352"/>
      <c r="F44" s="352"/>
      <c r="G44" s="352"/>
      <c r="H44" s="352"/>
      <c r="I44" s="352"/>
      <c r="J44" s="359">
        <f>J39/J40</f>
        <v>0.047057076923076924</v>
      </c>
      <c r="K44" s="359">
        <f>K39/K40</f>
        <v>0.2104994074074074</v>
      </c>
      <c r="L44" s="359">
        <f>L39/L40</f>
        <v>0.130405475625</v>
      </c>
    </row>
    <row r="45" spans="2:12" ht="15"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</row>
    <row r="46" spans="2:12" ht="15">
      <c r="B46" s="351" t="s">
        <v>306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</row>
    <row r="47" spans="2:12" ht="15"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</row>
    <row r="48" spans="2:12" ht="15">
      <c r="B48" s="352" t="s">
        <v>298</v>
      </c>
      <c r="C48" s="352"/>
      <c r="D48" s="352"/>
      <c r="E48" s="352"/>
      <c r="F48" s="352"/>
      <c r="G48" s="352"/>
      <c r="H48" s="353"/>
      <c r="I48" s="352"/>
      <c r="J48" s="354">
        <f>J39</f>
        <v>611742</v>
      </c>
      <c r="K48" s="354">
        <f>K39</f>
        <v>2841742</v>
      </c>
      <c r="L48" s="354">
        <f>L39</f>
        <v>2086487.6099999999</v>
      </c>
    </row>
    <row r="49" spans="2:12" ht="15">
      <c r="B49" s="352" t="s">
        <v>285</v>
      </c>
      <c r="C49" s="352"/>
      <c r="D49" s="352"/>
      <c r="E49" s="352"/>
      <c r="F49" s="352"/>
      <c r="G49" s="352"/>
      <c r="H49" s="352"/>
      <c r="I49" s="352"/>
      <c r="J49" s="354">
        <v>0</v>
      </c>
      <c r="K49" s="354">
        <v>0</v>
      </c>
      <c r="L49" s="354">
        <v>0</v>
      </c>
    </row>
    <row r="50" spans="2:12" ht="15">
      <c r="B50" s="352" t="s">
        <v>286</v>
      </c>
      <c r="C50" s="352"/>
      <c r="D50" s="352"/>
      <c r="E50" s="352"/>
      <c r="F50" s="352"/>
      <c r="G50" s="352"/>
      <c r="H50" s="352"/>
      <c r="I50" s="352"/>
      <c r="J50" s="356">
        <f>J51+J52</f>
        <v>230108</v>
      </c>
      <c r="K50" s="356">
        <f>K51+K52</f>
        <v>685108</v>
      </c>
      <c r="L50" s="356">
        <f>L51+L52</f>
        <v>557381.04</v>
      </c>
    </row>
    <row r="51" spans="2:12" ht="15">
      <c r="B51" s="352"/>
      <c r="C51" s="352"/>
      <c r="D51" s="352"/>
      <c r="E51" s="352"/>
      <c r="F51" s="357" t="s">
        <v>287</v>
      </c>
      <c r="G51" s="358" t="s">
        <v>288</v>
      </c>
      <c r="H51" s="352"/>
      <c r="I51" s="352"/>
      <c r="J51" s="354">
        <v>102564</v>
      </c>
      <c r="K51" s="354">
        <f>102564+310000</f>
        <v>412564</v>
      </c>
      <c r="L51" s="354">
        <f>382564.04+40000</f>
        <v>422564.04</v>
      </c>
    </row>
    <row r="52" spans="2:12" ht="15">
      <c r="B52" s="352"/>
      <c r="C52" s="352"/>
      <c r="D52" s="352"/>
      <c r="E52" s="352"/>
      <c r="F52" s="357" t="s">
        <v>289</v>
      </c>
      <c r="G52" s="358" t="s">
        <v>290</v>
      </c>
      <c r="H52" s="352"/>
      <c r="I52" s="352"/>
      <c r="J52" s="354">
        <v>127544</v>
      </c>
      <c r="K52" s="354">
        <f>127544+145000</f>
        <v>272544</v>
      </c>
      <c r="L52" s="354">
        <f>94817+40000</f>
        <v>134817</v>
      </c>
    </row>
    <row r="53" spans="2:12" ht="15">
      <c r="B53" s="352" t="s">
        <v>307</v>
      </c>
      <c r="C53" s="352"/>
      <c r="D53" s="352"/>
      <c r="E53" s="352"/>
      <c r="F53" s="352"/>
      <c r="G53" s="352"/>
      <c r="H53" s="352"/>
      <c r="I53" s="352"/>
      <c r="J53" s="354">
        <f>J48+J49-J51</f>
        <v>509178</v>
      </c>
      <c r="K53" s="354">
        <f>K48+K49-K51</f>
        <v>2429178</v>
      </c>
      <c r="L53" s="354">
        <f>L48+L49-L51</f>
        <v>1663923.5699999998</v>
      </c>
    </row>
    <row r="54" spans="2:12" ht="15">
      <c r="B54" s="352" t="s">
        <v>308</v>
      </c>
      <c r="C54" s="352"/>
      <c r="D54" s="352"/>
      <c r="E54" s="352"/>
      <c r="F54" s="352"/>
      <c r="G54" s="352"/>
      <c r="H54" s="352"/>
      <c r="I54" s="352"/>
      <c r="J54" s="354">
        <v>13000000</v>
      </c>
      <c r="K54" s="354">
        <v>13500000</v>
      </c>
      <c r="L54" s="354">
        <v>16000000</v>
      </c>
    </row>
    <row r="55" spans="2:12" ht="15">
      <c r="B55" s="352" t="s">
        <v>293</v>
      </c>
      <c r="C55" s="352"/>
      <c r="D55" s="352"/>
      <c r="E55" s="352"/>
      <c r="F55" s="352"/>
      <c r="G55" s="352"/>
      <c r="H55" s="352"/>
      <c r="I55" s="352"/>
      <c r="J55" s="354"/>
      <c r="K55" s="354"/>
      <c r="L55" s="354"/>
    </row>
    <row r="56" spans="2:12" ht="15">
      <c r="B56" s="352" t="s">
        <v>309</v>
      </c>
      <c r="C56" s="352"/>
      <c r="D56" s="352"/>
      <c r="E56" s="352"/>
      <c r="F56" s="352"/>
      <c r="G56" s="352"/>
      <c r="H56" s="352"/>
      <c r="I56" s="352"/>
      <c r="J56" s="359">
        <f>J50/J54</f>
        <v>0.017700615384615384</v>
      </c>
      <c r="K56" s="359">
        <f>K50/K54</f>
        <v>0.05074874074074074</v>
      </c>
      <c r="L56" s="359">
        <f>L50/L54</f>
        <v>0.034836315</v>
      </c>
    </row>
    <row r="57" spans="2:12" ht="15">
      <c r="B57" s="352" t="s">
        <v>295</v>
      </c>
      <c r="C57" s="352"/>
      <c r="D57" s="352"/>
      <c r="E57" s="352"/>
      <c r="F57" s="352"/>
      <c r="G57" s="352"/>
      <c r="H57" s="352"/>
      <c r="I57" s="352"/>
      <c r="J57" s="354"/>
      <c r="K57" s="354"/>
      <c r="L57" s="354"/>
    </row>
    <row r="58" spans="2:12" ht="15">
      <c r="B58" s="352" t="s">
        <v>296</v>
      </c>
      <c r="C58" s="352"/>
      <c r="D58" s="352"/>
      <c r="E58" s="352"/>
      <c r="F58" s="352"/>
      <c r="G58" s="352"/>
      <c r="H58" s="352"/>
      <c r="I58" s="352"/>
      <c r="J58" s="359">
        <f>J53/J54</f>
        <v>0.03916753846153846</v>
      </c>
      <c r="K58" s="359">
        <f>K53/K54</f>
        <v>0.1799391111111111</v>
      </c>
      <c r="L58" s="359">
        <f>L53/L54</f>
        <v>0.103995223125</v>
      </c>
    </row>
    <row r="59" spans="2:12" ht="15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</row>
    <row r="60" spans="2:12" ht="15">
      <c r="B60" s="351" t="s">
        <v>310</v>
      </c>
      <c r="C60" s="352"/>
      <c r="D60" s="352"/>
      <c r="E60" s="352"/>
      <c r="F60" s="352"/>
      <c r="G60" s="352"/>
      <c r="H60" s="352"/>
      <c r="I60" s="352"/>
      <c r="J60" s="352"/>
      <c r="K60" s="352"/>
      <c r="L60" s="352"/>
    </row>
    <row r="61" spans="2:12" ht="15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</row>
    <row r="62" spans="2:12" ht="15">
      <c r="B62" s="352" t="s">
        <v>298</v>
      </c>
      <c r="C62" s="352"/>
      <c r="D62" s="352"/>
      <c r="E62" s="352"/>
      <c r="F62" s="352"/>
      <c r="G62" s="352"/>
      <c r="H62" s="353"/>
      <c r="I62" s="352"/>
      <c r="J62" s="354">
        <f>J53</f>
        <v>509178</v>
      </c>
      <c r="K62" s="354">
        <f>K53</f>
        <v>2429178</v>
      </c>
      <c r="L62" s="354">
        <f>L53</f>
        <v>1663923.5699999998</v>
      </c>
    </row>
    <row r="63" spans="2:12" ht="15">
      <c r="B63" s="352" t="s">
        <v>285</v>
      </c>
      <c r="C63" s="352"/>
      <c r="D63" s="352"/>
      <c r="E63" s="352"/>
      <c r="F63" s="352"/>
      <c r="G63" s="352"/>
      <c r="H63" s="352"/>
      <c r="I63" s="352"/>
      <c r="J63" s="354">
        <v>0</v>
      </c>
      <c r="K63" s="354">
        <v>0</v>
      </c>
      <c r="L63" s="354">
        <v>0</v>
      </c>
    </row>
    <row r="64" spans="2:12" ht="15">
      <c r="B64" s="352" t="s">
        <v>286</v>
      </c>
      <c r="C64" s="352"/>
      <c r="D64" s="352"/>
      <c r="E64" s="352"/>
      <c r="F64" s="352"/>
      <c r="G64" s="352"/>
      <c r="H64" s="352"/>
      <c r="I64" s="352"/>
      <c r="J64" s="356">
        <f>J65+J66</f>
        <v>223904</v>
      </c>
      <c r="K64" s="356">
        <f>K65+K66</f>
        <v>673904</v>
      </c>
      <c r="L64" s="356">
        <f>L65+L66</f>
        <v>488858.3</v>
      </c>
    </row>
    <row r="65" spans="2:12" ht="15">
      <c r="B65" s="352"/>
      <c r="C65" s="352"/>
      <c r="D65" s="352"/>
      <c r="E65" s="352"/>
      <c r="F65" s="357" t="s">
        <v>287</v>
      </c>
      <c r="G65" s="358" t="s">
        <v>288</v>
      </c>
      <c r="H65" s="352"/>
      <c r="I65" s="352"/>
      <c r="J65" s="354">
        <v>102565</v>
      </c>
      <c r="K65" s="354">
        <f>102565+310000</f>
        <v>412565</v>
      </c>
      <c r="L65" s="354">
        <f>302564.04+40000</f>
        <v>342564.04</v>
      </c>
    </row>
    <row r="66" spans="2:12" ht="15">
      <c r="B66" s="352"/>
      <c r="C66" s="352"/>
      <c r="D66" s="352"/>
      <c r="E66" s="352"/>
      <c r="F66" s="357" t="s">
        <v>289</v>
      </c>
      <c r="G66" s="358" t="s">
        <v>290</v>
      </c>
      <c r="H66" s="352"/>
      <c r="I66" s="352"/>
      <c r="J66" s="354">
        <v>121339</v>
      </c>
      <c r="K66" s="354">
        <f>121339+140000</f>
        <v>261339</v>
      </c>
      <c r="L66" s="354">
        <f>106294.26+40000</f>
        <v>146294.26</v>
      </c>
    </row>
    <row r="67" spans="2:12" ht="15">
      <c r="B67" s="352" t="s">
        <v>311</v>
      </c>
      <c r="C67" s="352"/>
      <c r="D67" s="352"/>
      <c r="E67" s="352"/>
      <c r="F67" s="352"/>
      <c r="G67" s="352"/>
      <c r="H67" s="352"/>
      <c r="I67" s="352"/>
      <c r="J67" s="354">
        <f>J62+J63-J65</f>
        <v>406613</v>
      </c>
      <c r="K67" s="354">
        <f>K62+K63-K65</f>
        <v>2016613</v>
      </c>
      <c r="L67" s="354">
        <f>L62+L63-L65</f>
        <v>1321359.5299999998</v>
      </c>
    </row>
    <row r="68" spans="2:12" ht="15">
      <c r="B68" s="352" t="s">
        <v>312</v>
      </c>
      <c r="C68" s="352"/>
      <c r="D68" s="352"/>
      <c r="E68" s="352"/>
      <c r="F68" s="352"/>
      <c r="G68" s="352"/>
      <c r="H68" s="352"/>
      <c r="I68" s="352"/>
      <c r="J68" s="354">
        <v>13000000</v>
      </c>
      <c r="K68" s="354">
        <v>13500000</v>
      </c>
      <c r="L68" s="354">
        <v>16000000</v>
      </c>
    </row>
    <row r="69" spans="2:12" ht="15">
      <c r="B69" s="352" t="s">
        <v>293</v>
      </c>
      <c r="C69" s="352"/>
      <c r="D69" s="352"/>
      <c r="E69" s="352"/>
      <c r="F69" s="352"/>
      <c r="G69" s="352"/>
      <c r="H69" s="352"/>
      <c r="I69" s="352"/>
      <c r="J69" s="354"/>
      <c r="K69" s="354"/>
      <c r="L69" s="354"/>
    </row>
    <row r="70" spans="2:12" ht="15">
      <c r="B70" s="352" t="s">
        <v>313</v>
      </c>
      <c r="C70" s="352"/>
      <c r="D70" s="352"/>
      <c r="E70" s="352"/>
      <c r="F70" s="352"/>
      <c r="G70" s="352"/>
      <c r="H70" s="352"/>
      <c r="I70" s="352"/>
      <c r="J70" s="359">
        <f>J64/J68</f>
        <v>0.017223384615384616</v>
      </c>
      <c r="K70" s="359">
        <f>K64/K68</f>
        <v>0.04991881481481481</v>
      </c>
      <c r="L70" s="359">
        <f>L64/L68</f>
        <v>0.030553643749999998</v>
      </c>
    </row>
    <row r="71" spans="2:12" ht="15">
      <c r="B71" s="352" t="s">
        <v>295</v>
      </c>
      <c r="C71" s="352"/>
      <c r="D71" s="352"/>
      <c r="E71" s="352"/>
      <c r="F71" s="352"/>
      <c r="G71" s="352"/>
      <c r="H71" s="352"/>
      <c r="I71" s="352"/>
      <c r="J71" s="354"/>
      <c r="K71" s="354"/>
      <c r="L71" s="354"/>
    </row>
    <row r="72" spans="2:12" ht="15">
      <c r="B72" s="352" t="s">
        <v>296</v>
      </c>
      <c r="C72" s="352"/>
      <c r="D72" s="352"/>
      <c r="E72" s="352"/>
      <c r="F72" s="352"/>
      <c r="G72" s="352"/>
      <c r="H72" s="352"/>
      <c r="I72" s="352"/>
      <c r="J72" s="359">
        <f>J67/J68</f>
        <v>0.03127792307692308</v>
      </c>
      <c r="K72" s="359">
        <f>K67/K68</f>
        <v>0.14937874074074073</v>
      </c>
      <c r="L72" s="359">
        <f>L67/L68</f>
        <v>0.08258497062499999</v>
      </c>
    </row>
    <row r="73" spans="2:12" ht="15"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</row>
    <row r="74" spans="2:12" ht="15">
      <c r="B74" s="351" t="s">
        <v>314</v>
      </c>
      <c r="C74" s="352"/>
      <c r="D74" s="352"/>
      <c r="E74" s="352"/>
      <c r="F74" s="352"/>
      <c r="G74" s="352"/>
      <c r="H74" s="352"/>
      <c r="I74" s="352"/>
      <c r="J74" s="352"/>
      <c r="K74" s="352"/>
      <c r="L74" s="352"/>
    </row>
    <row r="75" spans="2:12" ht="15"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</row>
    <row r="76" spans="2:12" ht="15">
      <c r="B76" s="352" t="s">
        <v>298</v>
      </c>
      <c r="C76" s="352"/>
      <c r="D76" s="352"/>
      <c r="E76" s="352"/>
      <c r="F76" s="352"/>
      <c r="G76" s="352"/>
      <c r="H76" s="353"/>
      <c r="I76" s="352"/>
      <c r="J76" s="354">
        <f>J67</f>
        <v>406613</v>
      </c>
      <c r="K76" s="354">
        <f>K67</f>
        <v>2016613</v>
      </c>
      <c r="L76" s="354">
        <f>L67</f>
        <v>1321359.5299999998</v>
      </c>
    </row>
    <row r="77" spans="2:12" ht="15">
      <c r="B77" s="352" t="s">
        <v>285</v>
      </c>
      <c r="C77" s="352"/>
      <c r="D77" s="352"/>
      <c r="E77" s="352"/>
      <c r="F77" s="352"/>
      <c r="G77" s="352"/>
      <c r="H77" s="352"/>
      <c r="I77" s="352"/>
      <c r="J77" s="354">
        <v>0</v>
      </c>
      <c r="K77" s="354">
        <v>0</v>
      </c>
      <c r="L77" s="354">
        <v>0</v>
      </c>
    </row>
    <row r="78" spans="2:12" ht="15">
      <c r="B78" s="352" t="s">
        <v>286</v>
      </c>
      <c r="C78" s="352"/>
      <c r="D78" s="352"/>
      <c r="E78" s="352"/>
      <c r="F78" s="352"/>
      <c r="G78" s="352"/>
      <c r="H78" s="352"/>
      <c r="I78" s="352"/>
      <c r="J78" s="356">
        <f>J79+J80</f>
        <v>217699</v>
      </c>
      <c r="K78" s="356">
        <f>K79+K80</f>
        <v>627699</v>
      </c>
      <c r="L78" s="356">
        <f>L79+L80</f>
        <v>420274.01</v>
      </c>
    </row>
    <row r="79" spans="2:12" ht="15">
      <c r="B79" s="352"/>
      <c r="C79" s="352"/>
      <c r="D79" s="352"/>
      <c r="E79" s="352"/>
      <c r="F79" s="357" t="s">
        <v>287</v>
      </c>
      <c r="G79" s="358" t="s">
        <v>288</v>
      </c>
      <c r="H79" s="352"/>
      <c r="I79" s="352"/>
      <c r="J79" s="354">
        <v>102565</v>
      </c>
      <c r="K79" s="354">
        <f>102565+310000</f>
        <v>412565</v>
      </c>
      <c r="L79" s="354">
        <f>276923.01+40000</f>
        <v>316923.01</v>
      </c>
    </row>
    <row r="80" spans="2:12" ht="15">
      <c r="B80" s="352"/>
      <c r="C80" s="352"/>
      <c r="D80" s="352"/>
      <c r="E80" s="352"/>
      <c r="F80" s="357" t="s">
        <v>289</v>
      </c>
      <c r="G80" s="358" t="s">
        <v>290</v>
      </c>
      <c r="H80" s="352"/>
      <c r="I80" s="352"/>
      <c r="J80" s="354">
        <v>115134</v>
      </c>
      <c r="K80" s="354">
        <f>115134+100000</f>
        <v>215134</v>
      </c>
      <c r="L80" s="354">
        <f>63351+40000</f>
        <v>103351</v>
      </c>
    </row>
    <row r="81" spans="2:12" ht="15">
      <c r="B81" s="352" t="s">
        <v>315</v>
      </c>
      <c r="C81" s="352"/>
      <c r="D81" s="352"/>
      <c r="E81" s="352"/>
      <c r="F81" s="352"/>
      <c r="G81" s="352"/>
      <c r="H81" s="352"/>
      <c r="I81" s="352"/>
      <c r="J81" s="354">
        <f>J76+J77-J79</f>
        <v>304048</v>
      </c>
      <c r="K81" s="354">
        <f>K76+K77-K79</f>
        <v>1604048</v>
      </c>
      <c r="L81" s="354">
        <f>L76+L77-L79</f>
        <v>1004436.5199999998</v>
      </c>
    </row>
    <row r="82" spans="2:12" ht="15">
      <c r="B82" s="352" t="s">
        <v>316</v>
      </c>
      <c r="C82" s="352"/>
      <c r="D82" s="352"/>
      <c r="E82" s="352"/>
      <c r="F82" s="352"/>
      <c r="G82" s="352"/>
      <c r="H82" s="352"/>
      <c r="I82" s="352"/>
      <c r="J82" s="354">
        <v>13000000</v>
      </c>
      <c r="K82" s="354">
        <v>13500000</v>
      </c>
      <c r="L82" s="354">
        <v>16000000</v>
      </c>
    </row>
    <row r="83" spans="2:12" ht="15">
      <c r="B83" s="352" t="s">
        <v>293</v>
      </c>
      <c r="C83" s="352"/>
      <c r="D83" s="352"/>
      <c r="E83" s="352"/>
      <c r="F83" s="352"/>
      <c r="G83" s="352"/>
      <c r="H83" s="352"/>
      <c r="I83" s="352"/>
      <c r="J83" s="354"/>
      <c r="K83" s="354"/>
      <c r="L83" s="354"/>
    </row>
    <row r="84" spans="2:12" ht="15">
      <c r="B84" s="352" t="s">
        <v>317</v>
      </c>
      <c r="C84" s="352"/>
      <c r="D84" s="352"/>
      <c r="E84" s="352"/>
      <c r="F84" s="352"/>
      <c r="G84" s="352"/>
      <c r="H84" s="352"/>
      <c r="I84" s="352"/>
      <c r="J84" s="359">
        <f>J78/J82</f>
        <v>0.016746076923076923</v>
      </c>
      <c r="K84" s="359">
        <f>K78/K82</f>
        <v>0.046496222222222224</v>
      </c>
      <c r="L84" s="359">
        <f>L78/L82</f>
        <v>0.026267125625000002</v>
      </c>
    </row>
    <row r="85" spans="2:12" ht="15">
      <c r="B85" s="352" t="s">
        <v>295</v>
      </c>
      <c r="C85" s="352"/>
      <c r="D85" s="352"/>
      <c r="E85" s="352"/>
      <c r="F85" s="352"/>
      <c r="G85" s="352"/>
      <c r="H85" s="352"/>
      <c r="I85" s="352"/>
      <c r="J85" s="354"/>
      <c r="K85" s="354"/>
      <c r="L85" s="354"/>
    </row>
    <row r="86" spans="2:12" ht="15">
      <c r="B86" s="352" t="s">
        <v>296</v>
      </c>
      <c r="C86" s="352"/>
      <c r="D86" s="352"/>
      <c r="E86" s="352"/>
      <c r="F86" s="352"/>
      <c r="G86" s="352"/>
      <c r="H86" s="352"/>
      <c r="I86" s="352"/>
      <c r="J86" s="359">
        <f>J81/J82</f>
        <v>0.02338830769230769</v>
      </c>
      <c r="K86" s="359">
        <f>K81/K82</f>
        <v>0.11881837037037037</v>
      </c>
      <c r="L86" s="359">
        <f>L81/L82</f>
        <v>0.06277728249999999</v>
      </c>
    </row>
    <row r="87" spans="2:12" ht="15"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</row>
    <row r="88" spans="2:12" ht="15">
      <c r="B88" s="351" t="s">
        <v>318</v>
      </c>
      <c r="C88" s="352"/>
      <c r="D88" s="352"/>
      <c r="E88" s="352"/>
      <c r="F88" s="352"/>
      <c r="G88" s="352"/>
      <c r="H88" s="352"/>
      <c r="I88" s="352"/>
      <c r="J88" s="352"/>
      <c r="K88" s="352"/>
      <c r="L88" s="352"/>
    </row>
    <row r="89" spans="2:12" ht="15"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</row>
    <row r="90" spans="2:12" ht="15">
      <c r="B90" s="352" t="s">
        <v>298</v>
      </c>
      <c r="C90" s="352"/>
      <c r="D90" s="352"/>
      <c r="E90" s="352"/>
      <c r="F90" s="352"/>
      <c r="G90" s="352"/>
      <c r="H90" s="353"/>
      <c r="I90" s="352"/>
      <c r="J90" s="354">
        <f>J81</f>
        <v>304048</v>
      </c>
      <c r="K90" s="354">
        <f>K81</f>
        <v>1604048</v>
      </c>
      <c r="L90" s="354">
        <f>L81</f>
        <v>1004436.5199999998</v>
      </c>
    </row>
    <row r="91" spans="2:12" ht="15">
      <c r="B91" s="352" t="s">
        <v>285</v>
      </c>
      <c r="C91" s="352"/>
      <c r="D91" s="352"/>
      <c r="E91" s="352"/>
      <c r="F91" s="352"/>
      <c r="G91" s="352"/>
      <c r="H91" s="352"/>
      <c r="I91" s="352"/>
      <c r="J91" s="354">
        <v>0</v>
      </c>
      <c r="K91" s="354">
        <v>0</v>
      </c>
      <c r="L91" s="354">
        <v>0</v>
      </c>
    </row>
    <row r="92" spans="2:12" ht="15">
      <c r="B92" s="352" t="s">
        <v>286</v>
      </c>
      <c r="C92" s="352"/>
      <c r="D92" s="352"/>
      <c r="E92" s="352"/>
      <c r="F92" s="352"/>
      <c r="G92" s="352"/>
      <c r="H92" s="352"/>
      <c r="I92" s="352"/>
      <c r="J92" s="356">
        <f>J93+J94</f>
        <v>211494</v>
      </c>
      <c r="K92" s="356">
        <f>K93+K94</f>
        <v>611494</v>
      </c>
      <c r="L92" s="356">
        <f>L93+L94</f>
        <v>313834.92000000004</v>
      </c>
    </row>
    <row r="93" spans="2:12" ht="15">
      <c r="B93" s="352"/>
      <c r="C93" s="352"/>
      <c r="D93" s="352"/>
      <c r="E93" s="352"/>
      <c r="F93" s="357" t="s">
        <v>287</v>
      </c>
      <c r="G93" s="358" t="s">
        <v>288</v>
      </c>
      <c r="H93" s="352"/>
      <c r="I93" s="352"/>
      <c r="J93" s="354">
        <v>102565</v>
      </c>
      <c r="K93" s="354">
        <f>102565+310000</f>
        <v>412565</v>
      </c>
      <c r="L93" s="354">
        <f>199999.92+40000</f>
        <v>239999.92</v>
      </c>
    </row>
    <row r="94" spans="2:12" ht="15">
      <c r="B94" s="352"/>
      <c r="C94" s="352"/>
      <c r="D94" s="352"/>
      <c r="E94" s="352"/>
      <c r="F94" s="357" t="s">
        <v>289</v>
      </c>
      <c r="G94" s="358" t="s">
        <v>290</v>
      </c>
      <c r="H94" s="352"/>
      <c r="I94" s="352"/>
      <c r="J94" s="354">
        <v>108929</v>
      </c>
      <c r="K94" s="354">
        <f>108929+90000</f>
        <v>198929</v>
      </c>
      <c r="L94" s="354">
        <v>73835</v>
      </c>
    </row>
    <row r="95" spans="2:12" ht="15">
      <c r="B95" s="352" t="s">
        <v>319</v>
      </c>
      <c r="C95" s="352"/>
      <c r="D95" s="352"/>
      <c r="E95" s="352"/>
      <c r="F95" s="352"/>
      <c r="G95" s="352"/>
      <c r="H95" s="352"/>
      <c r="I95" s="352"/>
      <c r="J95" s="354">
        <f>J90+J91-J93</f>
        <v>201483</v>
      </c>
      <c r="K95" s="354">
        <f>K90+K91-K93</f>
        <v>1191483</v>
      </c>
      <c r="L95" s="354">
        <f>L90+L91-L93</f>
        <v>764436.5999999997</v>
      </c>
    </row>
    <row r="96" spans="2:12" ht="15">
      <c r="B96" s="352" t="s">
        <v>320</v>
      </c>
      <c r="C96" s="352"/>
      <c r="D96" s="352"/>
      <c r="E96" s="352"/>
      <c r="F96" s="352"/>
      <c r="G96" s="352"/>
      <c r="H96" s="352"/>
      <c r="I96" s="352"/>
      <c r="J96" s="354">
        <v>13000000</v>
      </c>
      <c r="K96" s="354">
        <v>13500000</v>
      </c>
      <c r="L96" s="354">
        <v>16000000</v>
      </c>
    </row>
    <row r="97" spans="2:12" ht="15">
      <c r="B97" s="352" t="s">
        <v>293</v>
      </c>
      <c r="C97" s="352"/>
      <c r="D97" s="352"/>
      <c r="E97" s="352"/>
      <c r="F97" s="352"/>
      <c r="G97" s="352"/>
      <c r="H97" s="352"/>
      <c r="I97" s="352"/>
      <c r="J97" s="354"/>
      <c r="K97" s="354"/>
      <c r="L97" s="354"/>
    </row>
    <row r="98" spans="2:12" ht="15">
      <c r="B98" s="352" t="s">
        <v>321</v>
      </c>
      <c r="C98" s="352"/>
      <c r="D98" s="352"/>
      <c r="E98" s="352"/>
      <c r="F98" s="352"/>
      <c r="G98" s="352"/>
      <c r="H98" s="352"/>
      <c r="I98" s="352"/>
      <c r="J98" s="359">
        <f>J92/J96</f>
        <v>0.016268769230769232</v>
      </c>
      <c r="K98" s="359">
        <f>K92/K96</f>
        <v>0.04529585185185185</v>
      </c>
      <c r="L98" s="359">
        <f>L92/L96</f>
        <v>0.0196146825</v>
      </c>
    </row>
    <row r="99" spans="2:12" ht="15">
      <c r="B99" s="352" t="s">
        <v>295</v>
      </c>
      <c r="C99" s="352"/>
      <c r="D99" s="352"/>
      <c r="E99" s="352"/>
      <c r="F99" s="352"/>
      <c r="G99" s="352"/>
      <c r="H99" s="352"/>
      <c r="I99" s="352"/>
      <c r="J99" s="354"/>
      <c r="K99" s="354"/>
      <c r="L99" s="354"/>
    </row>
    <row r="100" spans="2:12" ht="15">
      <c r="B100" s="352" t="s">
        <v>296</v>
      </c>
      <c r="C100" s="352"/>
      <c r="D100" s="352"/>
      <c r="E100" s="352"/>
      <c r="F100" s="352"/>
      <c r="G100" s="352"/>
      <c r="H100" s="352"/>
      <c r="I100" s="352"/>
      <c r="J100" s="359">
        <f>J95/J96</f>
        <v>0.015498692307692307</v>
      </c>
      <c r="K100" s="359">
        <f>K95/K96</f>
        <v>0.088258</v>
      </c>
      <c r="L100" s="359">
        <f>L95/L96</f>
        <v>0.04777728749999998</v>
      </c>
    </row>
    <row r="101" spans="2:12" ht="15"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</row>
    <row r="102" spans="2:12" ht="15">
      <c r="B102" s="351" t="s">
        <v>322</v>
      </c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</row>
    <row r="103" spans="2:12" ht="15"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</row>
    <row r="104" spans="2:12" ht="15">
      <c r="B104" s="352" t="s">
        <v>298</v>
      </c>
      <c r="C104" s="352"/>
      <c r="D104" s="352"/>
      <c r="E104" s="352"/>
      <c r="F104" s="352"/>
      <c r="G104" s="352"/>
      <c r="H104" s="353"/>
      <c r="I104" s="352"/>
      <c r="J104" s="354">
        <f>J95</f>
        <v>201483</v>
      </c>
      <c r="K104" s="354">
        <f>K95</f>
        <v>1191483</v>
      </c>
      <c r="L104" s="354">
        <f>L95</f>
        <v>764436.5999999997</v>
      </c>
    </row>
    <row r="105" spans="2:12" ht="15">
      <c r="B105" s="352" t="s">
        <v>285</v>
      </c>
      <c r="C105" s="352"/>
      <c r="D105" s="352"/>
      <c r="E105" s="352"/>
      <c r="F105" s="352"/>
      <c r="G105" s="352"/>
      <c r="H105" s="352"/>
      <c r="I105" s="352"/>
      <c r="J105" s="354">
        <v>0</v>
      </c>
      <c r="K105" s="354">
        <v>0</v>
      </c>
      <c r="L105" s="354">
        <v>0</v>
      </c>
    </row>
    <row r="106" spans="2:12" ht="15">
      <c r="B106" s="352" t="s">
        <v>286</v>
      </c>
      <c r="C106" s="352"/>
      <c r="D106" s="352"/>
      <c r="E106" s="352"/>
      <c r="F106" s="352"/>
      <c r="G106" s="352"/>
      <c r="H106" s="352"/>
      <c r="I106" s="352"/>
      <c r="J106" s="356">
        <f>J107+J108</f>
        <v>179413</v>
      </c>
      <c r="K106" s="356">
        <f>K107+K108</f>
        <v>559413</v>
      </c>
      <c r="L106" s="356">
        <f>L107+L108</f>
        <v>291546.92000000004</v>
      </c>
    </row>
    <row r="107" spans="2:12" ht="15">
      <c r="B107" s="352"/>
      <c r="C107" s="352"/>
      <c r="D107" s="352"/>
      <c r="E107" s="352"/>
      <c r="F107" s="357" t="s">
        <v>287</v>
      </c>
      <c r="G107" s="358" t="s">
        <v>288</v>
      </c>
      <c r="H107" s="352"/>
      <c r="I107" s="352"/>
      <c r="J107" s="354">
        <v>76918</v>
      </c>
      <c r="K107" s="354">
        <f>76918+310000</f>
        <v>386918</v>
      </c>
      <c r="L107" s="354">
        <f>199999.92+40000</f>
        <v>239999.92</v>
      </c>
    </row>
    <row r="108" spans="2:12" ht="15">
      <c r="B108" s="352"/>
      <c r="C108" s="352"/>
      <c r="D108" s="352"/>
      <c r="E108" s="352"/>
      <c r="F108" s="357" t="s">
        <v>289</v>
      </c>
      <c r="G108" s="358" t="s">
        <v>290</v>
      </c>
      <c r="H108" s="352"/>
      <c r="I108" s="352"/>
      <c r="J108" s="354">
        <v>102495</v>
      </c>
      <c r="K108" s="354">
        <f>102495+70000</f>
        <v>172495</v>
      </c>
      <c r="L108" s="354">
        <v>51547</v>
      </c>
    </row>
    <row r="109" spans="2:12" ht="15">
      <c r="B109" s="352" t="s">
        <v>323</v>
      </c>
      <c r="C109" s="352"/>
      <c r="D109" s="352"/>
      <c r="E109" s="352"/>
      <c r="F109" s="352"/>
      <c r="G109" s="352"/>
      <c r="H109" s="352"/>
      <c r="I109" s="352"/>
      <c r="J109" s="354">
        <f>J104+J105-J107</f>
        <v>124565</v>
      </c>
      <c r="K109" s="354">
        <f>K104+K105-K107</f>
        <v>804565</v>
      </c>
      <c r="L109" s="354">
        <f>L104+L105-L107</f>
        <v>524436.6799999997</v>
      </c>
    </row>
    <row r="110" spans="2:12" ht="15">
      <c r="B110" s="352" t="s">
        <v>324</v>
      </c>
      <c r="C110" s="352"/>
      <c r="D110" s="352"/>
      <c r="E110" s="352"/>
      <c r="F110" s="352"/>
      <c r="G110" s="352"/>
      <c r="H110" s="352"/>
      <c r="I110" s="352"/>
      <c r="J110" s="354">
        <v>13000000</v>
      </c>
      <c r="K110" s="354">
        <v>13500000</v>
      </c>
      <c r="L110" s="354">
        <v>16000000</v>
      </c>
    </row>
    <row r="111" spans="2:12" ht="15">
      <c r="B111" s="352" t="s">
        <v>293</v>
      </c>
      <c r="C111" s="352"/>
      <c r="D111" s="352"/>
      <c r="E111" s="352"/>
      <c r="F111" s="352"/>
      <c r="G111" s="352"/>
      <c r="H111" s="352"/>
      <c r="I111" s="352"/>
      <c r="J111" s="354"/>
      <c r="K111" s="354"/>
      <c r="L111" s="354"/>
    </row>
    <row r="112" spans="2:12" ht="15">
      <c r="B112" s="352" t="s">
        <v>325</v>
      </c>
      <c r="C112" s="352"/>
      <c r="D112" s="352"/>
      <c r="E112" s="352"/>
      <c r="F112" s="352"/>
      <c r="G112" s="352"/>
      <c r="H112" s="352"/>
      <c r="I112" s="352"/>
      <c r="J112" s="359">
        <f>J106/J110</f>
        <v>0.013801</v>
      </c>
      <c r="K112" s="359">
        <f>K106/K110</f>
        <v>0.041438</v>
      </c>
      <c r="L112" s="359">
        <f>L106/L110</f>
        <v>0.018221682500000003</v>
      </c>
    </row>
    <row r="113" spans="2:12" ht="15">
      <c r="B113" s="352" t="s">
        <v>295</v>
      </c>
      <c r="C113" s="352"/>
      <c r="D113" s="352"/>
      <c r="E113" s="352"/>
      <c r="F113" s="352"/>
      <c r="G113" s="352"/>
      <c r="H113" s="352"/>
      <c r="I113" s="352"/>
      <c r="J113" s="354"/>
      <c r="K113" s="354"/>
      <c r="L113" s="354"/>
    </row>
    <row r="114" spans="2:12" ht="15">
      <c r="B114" s="352" t="s">
        <v>296</v>
      </c>
      <c r="C114" s="352"/>
      <c r="D114" s="352"/>
      <c r="E114" s="352"/>
      <c r="F114" s="352"/>
      <c r="G114" s="352"/>
      <c r="H114" s="352"/>
      <c r="I114" s="352"/>
      <c r="J114" s="359">
        <f>J109/J110</f>
        <v>0.009581923076923076</v>
      </c>
      <c r="K114" s="359">
        <f>K109/K110</f>
        <v>0.059597407407407405</v>
      </c>
      <c r="L114" s="359">
        <f>L109/L110</f>
        <v>0.03277729249999998</v>
      </c>
    </row>
    <row r="115" spans="2:12" ht="15"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</row>
    <row r="116" spans="2:12" ht="15">
      <c r="B116" s="351" t="s">
        <v>326</v>
      </c>
      <c r="C116" s="352"/>
      <c r="D116" s="352"/>
      <c r="E116" s="352"/>
      <c r="F116" s="352"/>
      <c r="G116" s="352"/>
      <c r="H116" s="352"/>
      <c r="I116" s="352"/>
      <c r="J116" s="352"/>
      <c r="K116" s="352"/>
      <c r="L116" s="352"/>
    </row>
    <row r="117" spans="2:12" ht="15">
      <c r="B117" s="352"/>
      <c r="C117" s="352"/>
      <c r="D117" s="352"/>
      <c r="E117" s="352"/>
      <c r="F117" s="352"/>
      <c r="G117" s="352"/>
      <c r="H117" s="352"/>
      <c r="I117" s="352"/>
      <c r="J117" s="352"/>
      <c r="K117" s="352"/>
      <c r="L117" s="352"/>
    </row>
    <row r="118" spans="2:12" ht="15">
      <c r="B118" s="352" t="s">
        <v>298</v>
      </c>
      <c r="C118" s="352"/>
      <c r="D118" s="352"/>
      <c r="E118" s="352"/>
      <c r="F118" s="352"/>
      <c r="G118" s="352"/>
      <c r="H118" s="353"/>
      <c r="I118" s="352"/>
      <c r="J118" s="354">
        <f>J109</f>
        <v>124565</v>
      </c>
      <c r="K118" s="354">
        <f>K109</f>
        <v>804565</v>
      </c>
      <c r="L118" s="354">
        <f>L109</f>
        <v>524436.6799999997</v>
      </c>
    </row>
    <row r="119" spans="2:12" ht="15">
      <c r="B119" s="352" t="s">
        <v>285</v>
      </c>
      <c r="C119" s="352"/>
      <c r="D119" s="352"/>
      <c r="E119" s="352"/>
      <c r="F119" s="352"/>
      <c r="G119" s="352"/>
      <c r="H119" s="352"/>
      <c r="I119" s="352"/>
      <c r="J119" s="354">
        <v>0</v>
      </c>
      <c r="K119" s="354">
        <v>0</v>
      </c>
      <c r="L119" s="354">
        <v>0</v>
      </c>
    </row>
    <row r="120" spans="2:12" ht="15">
      <c r="B120" s="352" t="s">
        <v>286</v>
      </c>
      <c r="C120" s="352"/>
      <c r="D120" s="352"/>
      <c r="E120" s="352"/>
      <c r="F120" s="352"/>
      <c r="G120" s="352"/>
      <c r="H120" s="352"/>
      <c r="I120" s="352"/>
      <c r="J120" s="356">
        <f>J121+J122</f>
        <v>100000</v>
      </c>
      <c r="K120" s="356">
        <f>K121+K122</f>
        <v>345000</v>
      </c>
      <c r="L120" s="356">
        <f>L121+L122</f>
        <v>232850.92</v>
      </c>
    </row>
    <row r="121" spans="2:12" ht="15">
      <c r="B121" s="352"/>
      <c r="C121" s="352"/>
      <c r="D121" s="352"/>
      <c r="E121" s="352"/>
      <c r="F121" s="357" t="s">
        <v>287</v>
      </c>
      <c r="G121" s="358" t="s">
        <v>288</v>
      </c>
      <c r="H121" s="352"/>
      <c r="I121" s="352"/>
      <c r="J121" s="354"/>
      <c r="K121" s="354">
        <v>310000</v>
      </c>
      <c r="L121" s="354">
        <f>199999.92</f>
        <v>199999.92</v>
      </c>
    </row>
    <row r="122" spans="2:12" ht="15">
      <c r="B122" s="352"/>
      <c r="C122" s="352"/>
      <c r="D122" s="352"/>
      <c r="E122" s="352"/>
      <c r="F122" s="357" t="s">
        <v>289</v>
      </c>
      <c r="G122" s="358" t="s">
        <v>290</v>
      </c>
      <c r="H122" s="352"/>
      <c r="I122" s="352"/>
      <c r="J122" s="354">
        <v>100000</v>
      </c>
      <c r="K122" s="354">
        <v>35000</v>
      </c>
      <c r="L122" s="354">
        <v>32851</v>
      </c>
    </row>
    <row r="123" spans="2:12" ht="15">
      <c r="B123" s="352" t="s">
        <v>327</v>
      </c>
      <c r="C123" s="352"/>
      <c r="D123" s="352"/>
      <c r="E123" s="352"/>
      <c r="F123" s="352"/>
      <c r="G123" s="352"/>
      <c r="H123" s="352"/>
      <c r="I123" s="352"/>
      <c r="J123" s="354">
        <f>J118+J119-J121</f>
        <v>124565</v>
      </c>
      <c r="K123" s="354">
        <f>K118+K119-K121</f>
        <v>494565</v>
      </c>
      <c r="L123" s="354">
        <f>L118+L119-L121</f>
        <v>324436.75999999966</v>
      </c>
    </row>
    <row r="124" spans="2:12" ht="15">
      <c r="B124" s="352" t="s">
        <v>328</v>
      </c>
      <c r="C124" s="352"/>
      <c r="D124" s="352"/>
      <c r="E124" s="352"/>
      <c r="F124" s="352"/>
      <c r="G124" s="352"/>
      <c r="H124" s="352"/>
      <c r="I124" s="352"/>
      <c r="J124" s="354">
        <v>13000000</v>
      </c>
      <c r="K124" s="354">
        <v>13500000</v>
      </c>
      <c r="L124" s="354">
        <v>16000000</v>
      </c>
    </row>
    <row r="125" spans="2:12" ht="15">
      <c r="B125" s="352" t="s">
        <v>293</v>
      </c>
      <c r="C125" s="352"/>
      <c r="D125" s="352"/>
      <c r="E125" s="352"/>
      <c r="F125" s="352"/>
      <c r="G125" s="352"/>
      <c r="H125" s="352"/>
      <c r="I125" s="352"/>
      <c r="J125" s="354"/>
      <c r="K125" s="354"/>
      <c r="L125" s="354"/>
    </row>
    <row r="126" spans="2:12" ht="15">
      <c r="B126" s="352" t="s">
        <v>329</v>
      </c>
      <c r="C126" s="352"/>
      <c r="D126" s="352"/>
      <c r="E126" s="352"/>
      <c r="F126" s="352"/>
      <c r="G126" s="352"/>
      <c r="H126" s="352"/>
      <c r="I126" s="352"/>
      <c r="J126" s="359">
        <f>J120/J124</f>
        <v>0.007692307692307693</v>
      </c>
      <c r="K126" s="359">
        <f>K120/K124</f>
        <v>0.025555555555555557</v>
      </c>
      <c r="L126" s="359">
        <f>L120/L124</f>
        <v>0.014553182500000001</v>
      </c>
    </row>
    <row r="127" spans="2:12" ht="15">
      <c r="B127" s="352" t="s">
        <v>295</v>
      </c>
      <c r="C127" s="352"/>
      <c r="D127" s="352"/>
      <c r="E127" s="352"/>
      <c r="F127" s="352"/>
      <c r="G127" s="352"/>
      <c r="H127" s="352"/>
      <c r="I127" s="352"/>
      <c r="J127" s="354"/>
      <c r="K127" s="354"/>
      <c r="L127" s="354"/>
    </row>
    <row r="128" spans="2:12" ht="15">
      <c r="B128" s="352" t="s">
        <v>296</v>
      </c>
      <c r="C128" s="352"/>
      <c r="D128" s="352"/>
      <c r="E128" s="352"/>
      <c r="F128" s="352"/>
      <c r="G128" s="352"/>
      <c r="H128" s="352"/>
      <c r="I128" s="352"/>
      <c r="J128" s="359">
        <f>J123/J124</f>
        <v>0.009581923076923076</v>
      </c>
      <c r="K128" s="359">
        <f>K123/K124</f>
        <v>0.03663444444444444</v>
      </c>
      <c r="L128" s="359">
        <f>L123/L124</f>
        <v>0.02027729749999998</v>
      </c>
    </row>
    <row r="129" spans="2:12" ht="15">
      <c r="B129" s="352"/>
      <c r="C129" s="352"/>
      <c r="D129" s="352"/>
      <c r="E129" s="352"/>
      <c r="F129" s="352"/>
      <c r="G129" s="352"/>
      <c r="H129" s="352"/>
      <c r="I129" s="352"/>
      <c r="J129" s="359"/>
      <c r="K129" s="359"/>
      <c r="L129" s="359"/>
    </row>
    <row r="130" spans="2:12" ht="15">
      <c r="B130" s="351" t="s">
        <v>330</v>
      </c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</row>
    <row r="131" spans="2:12" ht="15"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</row>
    <row r="132" spans="2:12" ht="15">
      <c r="B132" s="352" t="s">
        <v>298</v>
      </c>
      <c r="C132" s="352"/>
      <c r="D132" s="352"/>
      <c r="E132" s="352"/>
      <c r="F132" s="352"/>
      <c r="G132" s="352"/>
      <c r="H132" s="353"/>
      <c r="I132" s="352"/>
      <c r="J132" s="354">
        <f>J123</f>
        <v>124565</v>
      </c>
      <c r="K132" s="354">
        <f>K123</f>
        <v>494565</v>
      </c>
      <c r="L132" s="354">
        <f>L123</f>
        <v>324436.75999999966</v>
      </c>
    </row>
    <row r="133" spans="2:12" ht="15">
      <c r="B133" s="352" t="s">
        <v>285</v>
      </c>
      <c r="C133" s="352"/>
      <c r="D133" s="352"/>
      <c r="E133" s="352"/>
      <c r="F133" s="352"/>
      <c r="G133" s="352"/>
      <c r="H133" s="352"/>
      <c r="I133" s="352"/>
      <c r="J133" s="354">
        <v>0</v>
      </c>
      <c r="K133" s="354">
        <v>0</v>
      </c>
      <c r="L133" s="354">
        <v>0</v>
      </c>
    </row>
    <row r="134" spans="2:12" ht="15">
      <c r="B134" s="352" t="s">
        <v>286</v>
      </c>
      <c r="C134" s="352"/>
      <c r="D134" s="352"/>
      <c r="E134" s="352"/>
      <c r="F134" s="352"/>
      <c r="G134" s="352"/>
      <c r="H134" s="352"/>
      <c r="I134" s="352"/>
      <c r="J134" s="356">
        <f>J135+J136</f>
        <v>100000</v>
      </c>
      <c r="K134" s="356">
        <f>K135+K136</f>
        <v>80000</v>
      </c>
      <c r="L134" s="356">
        <f>L135+L136</f>
        <v>221973.92</v>
      </c>
    </row>
    <row r="135" spans="2:12" ht="15">
      <c r="B135" s="352"/>
      <c r="C135" s="352"/>
      <c r="D135" s="352"/>
      <c r="E135" s="352"/>
      <c r="F135" s="357" t="s">
        <v>287</v>
      </c>
      <c r="G135" s="358" t="s">
        <v>288</v>
      </c>
      <c r="H135" s="352"/>
      <c r="I135" s="352"/>
      <c r="J135" s="354"/>
      <c r="K135" s="354">
        <v>60000</v>
      </c>
      <c r="L135" s="354">
        <f>199999.92</f>
        <v>199999.92</v>
      </c>
    </row>
    <row r="136" spans="2:12" ht="15">
      <c r="B136" s="352"/>
      <c r="C136" s="352"/>
      <c r="D136" s="352"/>
      <c r="E136" s="352"/>
      <c r="F136" s="357" t="s">
        <v>289</v>
      </c>
      <c r="G136" s="358" t="s">
        <v>290</v>
      </c>
      <c r="H136" s="352"/>
      <c r="I136" s="352"/>
      <c r="J136" s="354">
        <v>100000</v>
      </c>
      <c r="K136" s="354">
        <v>20000</v>
      </c>
      <c r="L136" s="354">
        <v>21974</v>
      </c>
    </row>
    <row r="137" spans="2:12" ht="15">
      <c r="B137" s="352" t="s">
        <v>331</v>
      </c>
      <c r="C137" s="352"/>
      <c r="D137" s="352"/>
      <c r="E137" s="352"/>
      <c r="F137" s="352"/>
      <c r="G137" s="352"/>
      <c r="H137" s="352"/>
      <c r="I137" s="352"/>
      <c r="J137" s="354">
        <f>J132+J133-J135</f>
        <v>124565</v>
      </c>
      <c r="K137" s="354">
        <f>K132+K133-K135</f>
        <v>434565</v>
      </c>
      <c r="L137" s="354">
        <f>L132+L133-L135</f>
        <v>124436.83999999965</v>
      </c>
    </row>
    <row r="138" spans="2:12" ht="15">
      <c r="B138" s="352" t="s">
        <v>332</v>
      </c>
      <c r="C138" s="352"/>
      <c r="D138" s="352"/>
      <c r="E138" s="352"/>
      <c r="F138" s="352"/>
      <c r="G138" s="352"/>
      <c r="H138" s="352"/>
      <c r="I138" s="352"/>
      <c r="J138" s="354">
        <v>13000000</v>
      </c>
      <c r="K138" s="354">
        <v>13500000</v>
      </c>
      <c r="L138" s="354">
        <v>16000000</v>
      </c>
    </row>
    <row r="139" spans="2:12" ht="15">
      <c r="B139" s="352" t="s">
        <v>293</v>
      </c>
      <c r="C139" s="352"/>
      <c r="D139" s="352"/>
      <c r="E139" s="352"/>
      <c r="F139" s="352"/>
      <c r="G139" s="352"/>
      <c r="H139" s="352"/>
      <c r="I139" s="352"/>
      <c r="J139" s="354"/>
      <c r="K139" s="354"/>
      <c r="L139" s="354"/>
    </row>
    <row r="140" spans="2:12" ht="15">
      <c r="B140" s="352" t="s">
        <v>333</v>
      </c>
      <c r="C140" s="352"/>
      <c r="D140" s="352"/>
      <c r="E140" s="352"/>
      <c r="F140" s="352"/>
      <c r="G140" s="352"/>
      <c r="H140" s="352"/>
      <c r="I140" s="352"/>
      <c r="J140" s="359">
        <f>J134/J138</f>
        <v>0.007692307692307693</v>
      </c>
      <c r="K140" s="359">
        <f>K134/K138</f>
        <v>0.005925925925925926</v>
      </c>
      <c r="L140" s="359">
        <f>L134/L138</f>
        <v>0.013873370000000001</v>
      </c>
    </row>
    <row r="141" spans="2:12" ht="15">
      <c r="B141" s="352" t="s">
        <v>295</v>
      </c>
      <c r="C141" s="352"/>
      <c r="D141" s="352"/>
      <c r="E141" s="352"/>
      <c r="F141" s="352"/>
      <c r="G141" s="352"/>
      <c r="H141" s="352"/>
      <c r="I141" s="352"/>
      <c r="J141" s="354"/>
      <c r="K141" s="354"/>
      <c r="L141" s="354"/>
    </row>
    <row r="142" spans="2:12" ht="15">
      <c r="B142" s="352" t="s">
        <v>296</v>
      </c>
      <c r="C142" s="352"/>
      <c r="D142" s="352"/>
      <c r="E142" s="352"/>
      <c r="F142" s="352"/>
      <c r="G142" s="352"/>
      <c r="H142" s="352"/>
      <c r="I142" s="352"/>
      <c r="J142" s="359">
        <f>J137/J138</f>
        <v>0.009581923076923076</v>
      </c>
      <c r="K142" s="359">
        <f>K137/K138</f>
        <v>0.03219</v>
      </c>
      <c r="L142" s="359">
        <f>L137/L138</f>
        <v>0.007777302499999978</v>
      </c>
    </row>
    <row r="143" spans="2:12" ht="15">
      <c r="B143" s="352"/>
      <c r="C143" s="352"/>
      <c r="D143" s="352"/>
      <c r="E143" s="352"/>
      <c r="F143" s="352"/>
      <c r="G143" s="352"/>
      <c r="H143" s="352"/>
      <c r="I143" s="352"/>
      <c r="J143" s="359"/>
      <c r="K143" s="359"/>
      <c r="L143" s="359"/>
    </row>
    <row r="144" spans="2:12" ht="15">
      <c r="B144" s="351" t="s">
        <v>334</v>
      </c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</row>
    <row r="145" spans="2:12" ht="15"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</row>
    <row r="146" spans="2:12" ht="15">
      <c r="B146" s="352" t="s">
        <v>298</v>
      </c>
      <c r="C146" s="352"/>
      <c r="D146" s="352"/>
      <c r="E146" s="352"/>
      <c r="F146" s="352"/>
      <c r="G146" s="352"/>
      <c r="H146" s="353"/>
      <c r="I146" s="352"/>
      <c r="J146" s="354">
        <f>J137</f>
        <v>124565</v>
      </c>
      <c r="K146" s="354">
        <f>K137</f>
        <v>434565</v>
      </c>
      <c r="L146" s="354">
        <f>L137</f>
        <v>124436.83999999965</v>
      </c>
    </row>
    <row r="147" spans="2:12" ht="15">
      <c r="B147" s="352" t="s">
        <v>285</v>
      </c>
      <c r="C147" s="352"/>
      <c r="D147" s="352"/>
      <c r="E147" s="352"/>
      <c r="F147" s="352"/>
      <c r="G147" s="352"/>
      <c r="H147" s="352"/>
      <c r="I147" s="352"/>
      <c r="J147" s="354">
        <v>0</v>
      </c>
      <c r="K147" s="354">
        <v>0</v>
      </c>
      <c r="L147" s="354">
        <v>0</v>
      </c>
    </row>
    <row r="148" spans="2:12" ht="15">
      <c r="B148" s="352" t="s">
        <v>286</v>
      </c>
      <c r="C148" s="352"/>
      <c r="D148" s="352"/>
      <c r="E148" s="352"/>
      <c r="F148" s="352"/>
      <c r="G148" s="352"/>
      <c r="H148" s="352"/>
      <c r="I148" s="352"/>
      <c r="J148" s="356">
        <f>J149+J150</f>
        <v>100000</v>
      </c>
      <c r="K148" s="356">
        <f>K149+K150</f>
        <v>80000</v>
      </c>
      <c r="L148" s="356">
        <f>L149+L150</f>
        <v>140403.84</v>
      </c>
    </row>
    <row r="149" spans="2:12" ht="15">
      <c r="B149" s="352"/>
      <c r="C149" s="352"/>
      <c r="D149" s="352"/>
      <c r="E149" s="352"/>
      <c r="F149" s="357" t="s">
        <v>287</v>
      </c>
      <c r="G149" s="358" t="s">
        <v>288</v>
      </c>
      <c r="H149" s="352"/>
      <c r="I149" s="352"/>
      <c r="J149" s="354"/>
      <c r="K149" s="354">
        <v>60000</v>
      </c>
      <c r="L149" s="354">
        <v>124436.84</v>
      </c>
    </row>
    <row r="150" spans="2:12" ht="15">
      <c r="B150" s="352"/>
      <c r="C150" s="352"/>
      <c r="D150" s="352"/>
      <c r="E150" s="352"/>
      <c r="F150" s="357" t="s">
        <v>289</v>
      </c>
      <c r="G150" s="358" t="s">
        <v>290</v>
      </c>
      <c r="H150" s="352"/>
      <c r="I150" s="352"/>
      <c r="J150" s="354">
        <v>100000</v>
      </c>
      <c r="K150" s="354">
        <v>20000</v>
      </c>
      <c r="L150" s="354">
        <v>15967</v>
      </c>
    </row>
    <row r="151" spans="2:12" ht="15">
      <c r="B151" s="352" t="s">
        <v>335</v>
      </c>
      <c r="C151" s="352"/>
      <c r="D151" s="352"/>
      <c r="E151" s="352"/>
      <c r="F151" s="352"/>
      <c r="G151" s="352"/>
      <c r="H151" s="352"/>
      <c r="I151" s="352"/>
      <c r="J151" s="354">
        <f>J146+J147-J149</f>
        <v>124565</v>
      </c>
      <c r="K151" s="354">
        <f>K146+K147-K149</f>
        <v>374565</v>
      </c>
      <c r="L151" s="354">
        <f>L146+L147-L149</f>
        <v>-3.4924596548080444E-10</v>
      </c>
    </row>
    <row r="152" spans="2:12" ht="15">
      <c r="B152" s="352" t="s">
        <v>336</v>
      </c>
      <c r="C152" s="352"/>
      <c r="D152" s="352"/>
      <c r="E152" s="352"/>
      <c r="F152" s="352"/>
      <c r="G152" s="352"/>
      <c r="H152" s="352"/>
      <c r="I152" s="352"/>
      <c r="J152" s="354">
        <v>13000000</v>
      </c>
      <c r="K152" s="354">
        <v>13500000</v>
      </c>
      <c r="L152" s="354">
        <v>16000000</v>
      </c>
    </row>
    <row r="153" spans="2:12" ht="15">
      <c r="B153" s="352" t="s">
        <v>293</v>
      </c>
      <c r="C153" s="352"/>
      <c r="D153" s="352"/>
      <c r="E153" s="352"/>
      <c r="F153" s="352"/>
      <c r="G153" s="352"/>
      <c r="H153" s="352"/>
      <c r="I153" s="352"/>
      <c r="J153" s="354"/>
      <c r="K153" s="354"/>
      <c r="L153" s="354"/>
    </row>
    <row r="154" spans="2:12" ht="15">
      <c r="B154" s="352" t="s">
        <v>337</v>
      </c>
      <c r="C154" s="352"/>
      <c r="D154" s="352"/>
      <c r="E154" s="352"/>
      <c r="F154" s="352"/>
      <c r="G154" s="352"/>
      <c r="H154" s="352"/>
      <c r="I154" s="352"/>
      <c r="J154" s="359">
        <f>J148/J152</f>
        <v>0.007692307692307693</v>
      </c>
      <c r="K154" s="359">
        <f>K148/K152</f>
        <v>0.005925925925925926</v>
      </c>
      <c r="L154" s="359">
        <f>L148/L152</f>
        <v>0.00877524</v>
      </c>
    </row>
    <row r="155" spans="2:12" ht="15">
      <c r="B155" s="352" t="s">
        <v>295</v>
      </c>
      <c r="C155" s="352"/>
      <c r="D155" s="352"/>
      <c r="E155" s="352"/>
      <c r="F155" s="352"/>
      <c r="G155" s="352"/>
      <c r="H155" s="352"/>
      <c r="I155" s="352"/>
      <c r="J155" s="354"/>
      <c r="K155" s="354"/>
      <c r="L155" s="354"/>
    </row>
    <row r="156" spans="2:12" ht="15">
      <c r="B156" s="352" t="s">
        <v>296</v>
      </c>
      <c r="C156" s="352"/>
      <c r="D156" s="352"/>
      <c r="E156" s="352"/>
      <c r="F156" s="352"/>
      <c r="G156" s="352"/>
      <c r="H156" s="352"/>
      <c r="I156" s="352"/>
      <c r="J156" s="359">
        <f>J151/J152</f>
        <v>0.009581923076923076</v>
      </c>
      <c r="K156" s="359">
        <f>K151/K152</f>
        <v>0.027745555555555555</v>
      </c>
      <c r="L156" s="359">
        <f>L151/L152</f>
        <v>-2.1827872842550278E-17</v>
      </c>
    </row>
    <row r="157" spans="2:12" ht="15">
      <c r="B157" s="352"/>
      <c r="C157" s="352"/>
      <c r="D157" s="352"/>
      <c r="E157" s="352"/>
      <c r="F157" s="352"/>
      <c r="G157" s="352"/>
      <c r="H157" s="352"/>
      <c r="I157" s="352"/>
      <c r="J157" s="359"/>
      <c r="K157" s="359"/>
      <c r="L157" s="359"/>
    </row>
    <row r="158" spans="2:12" ht="15">
      <c r="B158" s="352"/>
      <c r="C158" s="352"/>
      <c r="D158" s="352"/>
      <c r="E158" s="352"/>
      <c r="F158" s="352"/>
      <c r="G158" s="352"/>
      <c r="H158" s="352"/>
      <c r="I158" s="352"/>
      <c r="J158" s="352"/>
      <c r="K158" s="352"/>
      <c r="L158" s="352"/>
    </row>
    <row r="159" spans="2:12" ht="15">
      <c r="B159" s="351" t="s">
        <v>338</v>
      </c>
      <c r="C159" s="352"/>
      <c r="D159" s="352"/>
      <c r="E159" s="352"/>
      <c r="F159" s="352"/>
      <c r="G159" s="352"/>
      <c r="H159" s="352"/>
      <c r="I159" s="352"/>
      <c r="J159" s="352"/>
      <c r="K159" s="352"/>
      <c r="L159" s="352"/>
    </row>
    <row r="160" spans="2:12" ht="15">
      <c r="B160" s="351" t="s">
        <v>339</v>
      </c>
      <c r="C160" s="352"/>
      <c r="D160" s="352"/>
      <c r="E160" s="352"/>
      <c r="F160" s="352"/>
      <c r="G160" s="352"/>
      <c r="H160" s="352"/>
      <c r="I160" s="352"/>
      <c r="J160" s="352"/>
      <c r="K160" s="352"/>
      <c r="L160" s="352"/>
    </row>
    <row r="161" spans="2:12" ht="15">
      <c r="B161" s="352"/>
      <c r="C161" s="352"/>
      <c r="D161" s="352"/>
      <c r="E161" s="352"/>
      <c r="F161" s="352"/>
      <c r="G161" s="352"/>
      <c r="H161" s="352"/>
      <c r="I161" s="352"/>
      <c r="J161" s="352"/>
      <c r="K161" s="352"/>
      <c r="L161" s="352"/>
    </row>
    <row r="162" spans="2:12" ht="15">
      <c r="B162" s="352"/>
      <c r="C162" s="352"/>
      <c r="D162" s="352"/>
      <c r="E162" s="352"/>
      <c r="F162" s="352"/>
      <c r="G162" s="352"/>
      <c r="H162" s="352"/>
      <c r="I162" s="352"/>
      <c r="J162" s="352"/>
      <c r="K162" s="352"/>
      <c r="L162" s="352"/>
    </row>
    <row r="163" spans="2:12" ht="15">
      <c r="B163" s="352"/>
      <c r="C163" s="352"/>
      <c r="D163" s="352"/>
      <c r="E163" s="352"/>
      <c r="F163" s="352"/>
      <c r="G163" s="352"/>
      <c r="H163" s="352"/>
      <c r="I163" s="352"/>
      <c r="J163" s="352"/>
      <c r="K163" s="352"/>
      <c r="L163" s="352"/>
    </row>
    <row r="164" spans="2:12" ht="15">
      <c r="B164" s="352"/>
      <c r="C164" s="352"/>
      <c r="D164" s="352"/>
      <c r="E164" s="352"/>
      <c r="F164" s="352"/>
      <c r="G164" s="352"/>
      <c r="H164" s="352"/>
      <c r="I164" s="352"/>
      <c r="J164" s="352"/>
      <c r="K164" s="352"/>
      <c r="L164" s="35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31"/>
  <sheetViews>
    <sheetView zoomScalePageLayoutView="0" workbookViewId="0" topLeftCell="A100">
      <selection activeCell="G136" sqref="G136"/>
    </sheetView>
  </sheetViews>
  <sheetFormatPr defaultColWidth="9.140625" defaultRowHeight="12.75"/>
  <cols>
    <col min="1" max="1" width="2.28125" style="46" customWidth="1"/>
    <col min="2" max="2" width="5.28125" style="46" customWidth="1"/>
    <col min="3" max="3" width="6.421875" style="46" customWidth="1"/>
    <col min="4" max="4" width="4.8515625" style="46" customWidth="1"/>
    <col min="5" max="5" width="22.7109375" style="46" customWidth="1"/>
    <col min="6" max="6" width="20.57421875" style="46" customWidth="1"/>
    <col min="7" max="7" width="15.140625" style="446" customWidth="1"/>
    <col min="8" max="8" width="20.140625" style="46" customWidth="1"/>
    <col min="9" max="9" width="44.00390625" style="99" customWidth="1"/>
    <col min="10" max="16384" width="9.140625" style="46" customWidth="1"/>
  </cols>
  <sheetData>
    <row r="1" spans="2:10" ht="24.75" customHeight="1">
      <c r="B1" s="43" t="s">
        <v>340</v>
      </c>
      <c r="C1" s="44"/>
      <c r="D1" s="45"/>
      <c r="F1" s="47"/>
      <c r="G1" s="438"/>
      <c r="H1" s="47"/>
      <c r="I1" s="202" t="s">
        <v>492</v>
      </c>
      <c r="J1" s="202"/>
    </row>
    <row r="2" spans="2:10" ht="6" customHeight="1">
      <c r="B2" s="43"/>
      <c r="C2" s="44"/>
      <c r="D2" s="45"/>
      <c r="F2" s="47"/>
      <c r="G2" s="438"/>
      <c r="H2" s="47"/>
      <c r="I2" s="202"/>
      <c r="J2" s="202"/>
    </row>
    <row r="3" spans="2:11" s="49" customFormat="1" ht="15.75" customHeight="1">
      <c r="B3" s="416" t="s">
        <v>15</v>
      </c>
      <c r="C3" s="416" t="s">
        <v>36</v>
      </c>
      <c r="D3" s="416" t="s">
        <v>17</v>
      </c>
      <c r="E3" s="416" t="s">
        <v>18</v>
      </c>
      <c r="F3" s="416" t="s">
        <v>341</v>
      </c>
      <c r="G3" s="454" t="s">
        <v>19</v>
      </c>
      <c r="H3" s="416" t="s">
        <v>493</v>
      </c>
      <c r="I3" s="455"/>
      <c r="J3" s="456"/>
      <c r="K3" s="456"/>
    </row>
    <row r="4" spans="2:11" s="50" customFormat="1" ht="23.25" customHeight="1">
      <c r="B4" s="416"/>
      <c r="C4" s="416"/>
      <c r="D4" s="416"/>
      <c r="E4" s="416"/>
      <c r="F4" s="416"/>
      <c r="G4" s="454"/>
      <c r="H4" s="416"/>
      <c r="I4" s="455"/>
      <c r="J4" s="457"/>
      <c r="K4" s="457"/>
    </row>
    <row r="5" spans="2:9" ht="12.75">
      <c r="B5" s="51"/>
      <c r="C5" s="51"/>
      <c r="D5" s="51"/>
      <c r="E5" s="51"/>
      <c r="F5" s="51"/>
      <c r="G5" s="458"/>
      <c r="H5" s="51"/>
      <c r="I5" s="52"/>
    </row>
    <row r="6" spans="2:9" ht="51" customHeight="1" hidden="1">
      <c r="B6" s="51"/>
      <c r="C6" s="51"/>
      <c r="D6" s="51"/>
      <c r="E6" s="51"/>
      <c r="F6" s="53" t="s">
        <v>80</v>
      </c>
      <c r="G6" s="459"/>
      <c r="H6" s="53"/>
      <c r="I6" s="52"/>
    </row>
    <row r="7" spans="2:9" ht="12.75">
      <c r="B7" s="54" t="s">
        <v>37</v>
      </c>
      <c r="C7" s="22"/>
      <c r="D7" s="22"/>
      <c r="E7" s="23" t="s">
        <v>38</v>
      </c>
      <c r="F7" s="55">
        <f>F8</f>
        <v>483693</v>
      </c>
      <c r="G7" s="241">
        <f>G8</f>
        <v>-74000</v>
      </c>
      <c r="H7" s="55">
        <f>H8</f>
        <v>409693</v>
      </c>
      <c r="I7" s="56"/>
    </row>
    <row r="8" spans="2:9" s="49" customFormat="1" ht="25.5">
      <c r="B8" s="14"/>
      <c r="C8" s="25" t="s">
        <v>42</v>
      </c>
      <c r="D8" s="14"/>
      <c r="E8" s="17" t="s">
        <v>43</v>
      </c>
      <c r="F8" s="57">
        <f>SUM(F9:F9)</f>
        <v>483693</v>
      </c>
      <c r="G8" s="242">
        <f>SUM(G9:G9)</f>
        <v>-74000</v>
      </c>
      <c r="H8" s="57">
        <f>SUM(H9:H9)</f>
        <v>409693</v>
      </c>
      <c r="I8" s="59"/>
    </row>
    <row r="9" spans="2:9" s="49" customFormat="1" ht="25.5">
      <c r="B9" s="27"/>
      <c r="C9" s="60"/>
      <c r="D9" s="28">
        <v>6050</v>
      </c>
      <c r="E9" s="28" t="s">
        <v>44</v>
      </c>
      <c r="F9" s="61">
        <f>SUM(F10:F18)</f>
        <v>483693</v>
      </c>
      <c r="G9" s="460">
        <f>SUM(G10:G18)</f>
        <v>-74000</v>
      </c>
      <c r="H9" s="61">
        <f>SUM(H10:H18)</f>
        <v>409693</v>
      </c>
      <c r="I9" s="59"/>
    </row>
    <row r="10" spans="2:9" s="49" customFormat="1" ht="12.75">
      <c r="B10" s="27"/>
      <c r="C10" s="60"/>
      <c r="D10" s="28"/>
      <c r="E10" s="28"/>
      <c r="F10" s="62">
        <v>75000</v>
      </c>
      <c r="G10" s="442"/>
      <c r="H10" s="62">
        <f aca="true" t="shared" si="0" ref="H10:H18">F10+G10</f>
        <v>75000</v>
      </c>
      <c r="I10" s="63" t="s">
        <v>81</v>
      </c>
    </row>
    <row r="11" spans="2:9" s="49" customFormat="1" ht="12.75">
      <c r="B11" s="27"/>
      <c r="C11" s="60"/>
      <c r="D11" s="28"/>
      <c r="E11" s="28"/>
      <c r="F11" s="62">
        <v>20000</v>
      </c>
      <c r="G11" s="442"/>
      <c r="H11" s="62">
        <f t="shared" si="0"/>
        <v>20000</v>
      </c>
      <c r="I11" s="63" t="s">
        <v>214</v>
      </c>
    </row>
    <row r="12" spans="2:9" s="49" customFormat="1" ht="24">
      <c r="B12" s="27"/>
      <c r="C12" s="60"/>
      <c r="D12" s="28"/>
      <c r="E12" s="28"/>
      <c r="F12" s="62">
        <v>19293</v>
      </c>
      <c r="G12" s="442"/>
      <c r="H12" s="62">
        <f t="shared" si="0"/>
        <v>19293</v>
      </c>
      <c r="I12" s="63" t="s">
        <v>342</v>
      </c>
    </row>
    <row r="13" spans="2:9" s="49" customFormat="1" ht="12.75">
      <c r="B13" s="27"/>
      <c r="C13" s="60"/>
      <c r="D13" s="28"/>
      <c r="E13" s="28"/>
      <c r="F13" s="62">
        <v>40000</v>
      </c>
      <c r="G13" s="442"/>
      <c r="H13" s="62">
        <f t="shared" si="0"/>
        <v>40000</v>
      </c>
      <c r="I13" s="63" t="s">
        <v>343</v>
      </c>
    </row>
    <row r="14" spans="2:9" s="49" customFormat="1" ht="12.75">
      <c r="B14" s="27"/>
      <c r="C14" s="60"/>
      <c r="D14" s="28"/>
      <c r="E14" s="28"/>
      <c r="F14" s="62">
        <v>10000</v>
      </c>
      <c r="G14" s="442"/>
      <c r="H14" s="62">
        <f t="shared" si="0"/>
        <v>10000</v>
      </c>
      <c r="I14" s="63" t="s">
        <v>344</v>
      </c>
    </row>
    <row r="15" spans="2:9" s="49" customFormat="1" ht="12.75">
      <c r="B15" s="27"/>
      <c r="C15" s="60"/>
      <c r="D15" s="28"/>
      <c r="E15" s="28"/>
      <c r="F15" s="62">
        <v>30400</v>
      </c>
      <c r="G15" s="442"/>
      <c r="H15" s="62">
        <f t="shared" si="0"/>
        <v>30400</v>
      </c>
      <c r="I15" s="63" t="s">
        <v>345</v>
      </c>
    </row>
    <row r="16" spans="2:9" s="49" customFormat="1" ht="12.75">
      <c r="B16" s="27"/>
      <c r="C16" s="60"/>
      <c r="D16" s="28"/>
      <c r="E16" s="28"/>
      <c r="F16" s="62">
        <v>74000</v>
      </c>
      <c r="G16" s="245">
        <v>-74000</v>
      </c>
      <c r="H16" s="62">
        <f t="shared" si="0"/>
        <v>0</v>
      </c>
      <c r="I16" s="63" t="s">
        <v>226</v>
      </c>
    </row>
    <row r="17" spans="2:9" s="49" customFormat="1" ht="24">
      <c r="B17" s="27"/>
      <c r="C17" s="60"/>
      <c r="D17" s="28"/>
      <c r="E17" s="28"/>
      <c r="F17" s="62">
        <v>145000</v>
      </c>
      <c r="G17" s="442"/>
      <c r="H17" s="62">
        <f t="shared" si="0"/>
        <v>145000</v>
      </c>
      <c r="I17" s="63" t="s">
        <v>227</v>
      </c>
    </row>
    <row r="18" spans="2:9" s="49" customFormat="1" ht="24">
      <c r="B18" s="27"/>
      <c r="C18" s="60"/>
      <c r="D18" s="28"/>
      <c r="E18" s="28"/>
      <c r="F18" s="62">
        <v>70000</v>
      </c>
      <c r="G18" s="442"/>
      <c r="H18" s="62">
        <f t="shared" si="0"/>
        <v>70000</v>
      </c>
      <c r="I18" s="63" t="s">
        <v>215</v>
      </c>
    </row>
    <row r="19" spans="2:9" s="49" customFormat="1" ht="12.75">
      <c r="B19" s="31">
        <v>600</v>
      </c>
      <c r="C19" s="31"/>
      <c r="D19" s="31"/>
      <c r="E19" s="32" t="s">
        <v>47</v>
      </c>
      <c r="F19" s="65">
        <f>F24+F22+F20</f>
        <v>280000</v>
      </c>
      <c r="G19" s="361">
        <f>G24+G22+G20</f>
        <v>0</v>
      </c>
      <c r="H19" s="65">
        <f>H24+H22+H20</f>
        <v>280000</v>
      </c>
      <c r="I19" s="67"/>
    </row>
    <row r="20" spans="2:9" s="69" customFormat="1" ht="25.5">
      <c r="B20" s="36"/>
      <c r="C20" s="36">
        <v>60013</v>
      </c>
      <c r="D20" s="36"/>
      <c r="E20" s="130" t="s">
        <v>249</v>
      </c>
      <c r="F20" s="38">
        <f>F21</f>
        <v>20000</v>
      </c>
      <c r="G20" s="362">
        <f>G21</f>
        <v>0</v>
      </c>
      <c r="H20" s="38">
        <f>H21</f>
        <v>20000</v>
      </c>
      <c r="I20" s="68"/>
    </row>
    <row r="21" spans="2:9" s="69" customFormat="1" ht="102">
      <c r="B21" s="36"/>
      <c r="C21" s="36"/>
      <c r="D21" s="111">
        <v>6300</v>
      </c>
      <c r="E21" s="131" t="s">
        <v>50</v>
      </c>
      <c r="F21" s="37">
        <v>20000</v>
      </c>
      <c r="G21" s="362"/>
      <c r="H21" s="62">
        <f>F21+G21</f>
        <v>20000</v>
      </c>
      <c r="I21" s="461" t="s">
        <v>346</v>
      </c>
    </row>
    <row r="22" spans="2:9" s="69" customFormat="1" ht="12.75">
      <c r="B22" s="36"/>
      <c r="C22" s="14">
        <v>60014</v>
      </c>
      <c r="D22" s="14"/>
      <c r="E22" s="17" t="s">
        <v>48</v>
      </c>
      <c r="F22" s="38">
        <f>F23</f>
        <v>220000</v>
      </c>
      <c r="G22" s="362">
        <f>G23</f>
        <v>0</v>
      </c>
      <c r="H22" s="38">
        <f>H23</f>
        <v>220000</v>
      </c>
      <c r="I22" s="68"/>
    </row>
    <row r="23" spans="2:9" s="69" customFormat="1" ht="102">
      <c r="B23" s="36"/>
      <c r="C23" s="14"/>
      <c r="D23" s="27">
        <v>6300</v>
      </c>
      <c r="E23" s="28" t="s">
        <v>50</v>
      </c>
      <c r="F23" s="37">
        <v>220000</v>
      </c>
      <c r="G23" s="462"/>
      <c r="H23" s="62">
        <f>F23+G23</f>
        <v>220000</v>
      </c>
      <c r="I23" s="70" t="s">
        <v>347</v>
      </c>
    </row>
    <row r="24" spans="2:9" s="49" customFormat="1" ht="12.75">
      <c r="B24" s="14"/>
      <c r="C24" s="14">
        <v>60016</v>
      </c>
      <c r="D24" s="14"/>
      <c r="E24" s="17" t="s">
        <v>51</v>
      </c>
      <c r="F24" s="57">
        <f>SUM(F25:F25)</f>
        <v>40000</v>
      </c>
      <c r="G24" s="222">
        <f>SUM(G25:G25)</f>
        <v>0</v>
      </c>
      <c r="H24" s="57">
        <f>SUM(H25:H25)</f>
        <v>40000</v>
      </c>
      <c r="I24" s="417"/>
    </row>
    <row r="25" spans="2:9" s="49" customFormat="1" ht="25.5">
      <c r="B25" s="27"/>
      <c r="C25" s="26"/>
      <c r="D25" s="27">
        <v>6050</v>
      </c>
      <c r="E25" s="28" t="s">
        <v>44</v>
      </c>
      <c r="F25" s="61">
        <f>SUM(F26:F28)</f>
        <v>40000</v>
      </c>
      <c r="G25" s="463"/>
      <c r="H25" s="61">
        <f>SUM(H26:H28)</f>
        <v>40000</v>
      </c>
      <c r="I25" s="417"/>
    </row>
    <row r="26" spans="2:9" s="49" customFormat="1" ht="12.75">
      <c r="B26" s="27"/>
      <c r="C26" s="26"/>
      <c r="D26" s="27"/>
      <c r="E26" s="28"/>
      <c r="F26" s="62">
        <v>40000</v>
      </c>
      <c r="G26" s="442"/>
      <c r="H26" s="62">
        <f>F26+G26</f>
        <v>40000</v>
      </c>
      <c r="I26" s="210" t="s">
        <v>348</v>
      </c>
    </row>
    <row r="27" spans="2:9" s="49" customFormat="1" ht="24" hidden="1">
      <c r="B27" s="27"/>
      <c r="C27" s="27"/>
      <c r="D27" s="27"/>
      <c r="E27" s="28"/>
      <c r="F27" s="62"/>
      <c r="G27" s="442"/>
      <c r="H27" s="62">
        <f>F27+G27</f>
        <v>0</v>
      </c>
      <c r="I27" s="63" t="s">
        <v>216</v>
      </c>
    </row>
    <row r="28" spans="2:9" s="49" customFormat="1" ht="12.75" hidden="1">
      <c r="B28" s="27"/>
      <c r="C28" s="26"/>
      <c r="D28" s="27"/>
      <c r="E28" s="28"/>
      <c r="F28" s="62"/>
      <c r="G28" s="442"/>
      <c r="H28" s="62">
        <f>F28+G28</f>
        <v>0</v>
      </c>
      <c r="I28" s="63" t="s">
        <v>154</v>
      </c>
    </row>
    <row r="29" spans="2:9" s="49" customFormat="1" ht="12.75">
      <c r="B29" s="71">
        <v>700</v>
      </c>
      <c r="C29" s="71"/>
      <c r="D29" s="71"/>
      <c r="E29" s="72" t="s">
        <v>21</v>
      </c>
      <c r="F29" s="73">
        <f>F35+F30</f>
        <v>304000</v>
      </c>
      <c r="G29" s="464">
        <f>G35+G30</f>
        <v>74000</v>
      </c>
      <c r="H29" s="73">
        <f>H35+H30</f>
        <v>378000</v>
      </c>
      <c r="I29" s="74"/>
    </row>
    <row r="30" spans="2:9" s="131" customFormat="1" ht="25.5" hidden="1">
      <c r="B30" s="36"/>
      <c r="C30" s="14">
        <v>70004</v>
      </c>
      <c r="D30" s="14"/>
      <c r="E30" s="17" t="s">
        <v>52</v>
      </c>
      <c r="F30" s="38">
        <f>F31</f>
        <v>0</v>
      </c>
      <c r="G30" s="362">
        <f>G31</f>
        <v>0</v>
      </c>
      <c r="H30" s="38">
        <f>H31</f>
        <v>0</v>
      </c>
      <c r="I30" s="68"/>
    </row>
    <row r="31" spans="2:9" s="47" customFormat="1" ht="80.25" customHeight="1" hidden="1">
      <c r="B31" s="75"/>
      <c r="C31" s="75"/>
      <c r="D31" s="76">
        <v>6210</v>
      </c>
      <c r="E31" s="77" t="s">
        <v>54</v>
      </c>
      <c r="F31" s="132">
        <f>SUM(F32:F34)</f>
        <v>0</v>
      </c>
      <c r="G31" s="465">
        <f>SUM(G32:G34)</f>
        <v>0</v>
      </c>
      <c r="H31" s="132">
        <f>SUM(H32:H34)</f>
        <v>0</v>
      </c>
      <c r="I31" s="70"/>
    </row>
    <row r="32" spans="2:9" s="47" customFormat="1" ht="29.25" customHeight="1" hidden="1">
      <c r="B32" s="75"/>
      <c r="C32" s="75"/>
      <c r="D32" s="76"/>
      <c r="E32" s="77"/>
      <c r="F32" s="78"/>
      <c r="G32" s="466"/>
      <c r="H32" s="62">
        <f>F32+G32</f>
        <v>0</v>
      </c>
      <c r="I32" s="70" t="s">
        <v>228</v>
      </c>
    </row>
    <row r="33" spans="2:9" s="47" customFormat="1" ht="29.25" customHeight="1" hidden="1">
      <c r="B33" s="75"/>
      <c r="C33" s="75"/>
      <c r="D33" s="76"/>
      <c r="E33" s="77"/>
      <c r="F33" s="78"/>
      <c r="G33" s="466"/>
      <c r="H33" s="62">
        <f>F33+G33</f>
        <v>0</v>
      </c>
      <c r="I33" s="70" t="s">
        <v>235</v>
      </c>
    </row>
    <row r="34" spans="2:9" s="47" customFormat="1" ht="29.25" customHeight="1" hidden="1">
      <c r="B34" s="75"/>
      <c r="C34" s="75"/>
      <c r="D34" s="76"/>
      <c r="E34" s="77"/>
      <c r="F34" s="78"/>
      <c r="G34" s="466"/>
      <c r="H34" s="62">
        <f>F34+G34</f>
        <v>0</v>
      </c>
      <c r="I34" s="70"/>
    </row>
    <row r="35" spans="2:9" s="80" customFormat="1" ht="29.25" customHeight="1">
      <c r="B35" s="36"/>
      <c r="C35" s="14">
        <v>70005</v>
      </c>
      <c r="D35" s="14"/>
      <c r="E35" s="17" t="s">
        <v>22</v>
      </c>
      <c r="F35" s="57">
        <f>F36+F40</f>
        <v>304000</v>
      </c>
      <c r="G35" s="222">
        <f>G36+G40</f>
        <v>74000</v>
      </c>
      <c r="H35" s="57">
        <f>H36+H40</f>
        <v>378000</v>
      </c>
      <c r="I35" s="79"/>
    </row>
    <row r="36" spans="2:9" s="80" customFormat="1" ht="25.5">
      <c r="B36" s="36"/>
      <c r="C36" s="36"/>
      <c r="D36" s="27">
        <v>6050</v>
      </c>
      <c r="E36" s="28" t="s">
        <v>44</v>
      </c>
      <c r="F36" s="38">
        <f>SUM(F37:F39)</f>
        <v>214000</v>
      </c>
      <c r="G36" s="362">
        <f>SUM(G37:G39)</f>
        <v>0</v>
      </c>
      <c r="H36" s="38">
        <f>SUM(H37:H39)</f>
        <v>214000</v>
      </c>
      <c r="I36" s="81"/>
    </row>
    <row r="37" spans="2:9" s="80" customFormat="1" ht="12.75">
      <c r="B37" s="36"/>
      <c r="C37" s="36"/>
      <c r="D37" s="27"/>
      <c r="E37" s="28"/>
      <c r="F37" s="37">
        <v>74000</v>
      </c>
      <c r="G37" s="441"/>
      <c r="H37" s="62">
        <f>F37+G37</f>
        <v>74000</v>
      </c>
      <c r="I37" s="81" t="s">
        <v>229</v>
      </c>
    </row>
    <row r="38" spans="2:9" s="80" customFormat="1" ht="12.75">
      <c r="B38" s="36"/>
      <c r="C38" s="36"/>
      <c r="D38" s="27"/>
      <c r="E38" s="28"/>
      <c r="F38" s="37">
        <v>40000</v>
      </c>
      <c r="G38" s="441"/>
      <c r="H38" s="62">
        <f>F38+G38</f>
        <v>40000</v>
      </c>
      <c r="I38" s="81" t="s">
        <v>217</v>
      </c>
    </row>
    <row r="39" spans="2:9" s="80" customFormat="1" ht="12.75">
      <c r="B39" s="36"/>
      <c r="C39" s="36"/>
      <c r="D39" s="27"/>
      <c r="E39" s="28"/>
      <c r="F39" s="37">
        <v>100000</v>
      </c>
      <c r="G39" s="441"/>
      <c r="H39" s="62">
        <f>F39+G39</f>
        <v>100000</v>
      </c>
      <c r="I39" s="81" t="s">
        <v>218</v>
      </c>
    </row>
    <row r="40" spans="2:9" s="80" customFormat="1" ht="38.25">
      <c r="B40" s="36"/>
      <c r="C40" s="36"/>
      <c r="D40" s="27">
        <v>6060</v>
      </c>
      <c r="E40" s="28" t="s">
        <v>55</v>
      </c>
      <c r="F40" s="38">
        <f>SUM(F41:F43)</f>
        <v>90000</v>
      </c>
      <c r="G40" s="362">
        <f>SUM(G41:G43)</f>
        <v>74000</v>
      </c>
      <c r="H40" s="38">
        <f>SUM(H41:H43)</f>
        <v>164000</v>
      </c>
      <c r="I40" s="81"/>
    </row>
    <row r="41" spans="2:9" s="80" customFormat="1" ht="12.75">
      <c r="B41" s="36"/>
      <c r="C41" s="36"/>
      <c r="D41" s="27"/>
      <c r="E41" s="28"/>
      <c r="F41" s="37">
        <v>40000</v>
      </c>
      <c r="G41" s="441"/>
      <c r="H41" s="62">
        <f>F41+G41</f>
        <v>40000</v>
      </c>
      <c r="I41" s="81" t="s">
        <v>82</v>
      </c>
    </row>
    <row r="42" spans="2:9" s="80" customFormat="1" ht="12.75">
      <c r="B42" s="36"/>
      <c r="C42" s="36"/>
      <c r="D42" s="27"/>
      <c r="E42" s="28"/>
      <c r="F42" s="37">
        <v>50000</v>
      </c>
      <c r="G42" s="441">
        <v>44000</v>
      </c>
      <c r="H42" s="62">
        <f>F42+G42</f>
        <v>94000</v>
      </c>
      <c r="I42" s="81" t="s">
        <v>83</v>
      </c>
    </row>
    <row r="43" spans="2:9" s="80" customFormat="1" ht="12.75">
      <c r="B43" s="36"/>
      <c r="C43" s="36"/>
      <c r="D43" s="27"/>
      <c r="E43" s="28"/>
      <c r="F43" s="37"/>
      <c r="G43" s="441">
        <v>30000</v>
      </c>
      <c r="H43" s="62">
        <f>F43+G43</f>
        <v>30000</v>
      </c>
      <c r="I43" s="81" t="s">
        <v>494</v>
      </c>
    </row>
    <row r="44" spans="2:9" s="49" customFormat="1" ht="21.75" customHeight="1">
      <c r="B44" s="31">
        <v>750</v>
      </c>
      <c r="C44" s="31"/>
      <c r="D44" s="31"/>
      <c r="E44" s="32" t="s">
        <v>25</v>
      </c>
      <c r="F44" s="65">
        <f>F45+F50</f>
        <v>408000</v>
      </c>
      <c r="G44" s="361">
        <f>G45</f>
        <v>0</v>
      </c>
      <c r="H44" s="65">
        <f>H45+H50</f>
        <v>408000</v>
      </c>
      <c r="I44" s="67"/>
    </row>
    <row r="45" spans="2:9" s="49" customFormat="1" ht="21.75" customHeight="1">
      <c r="B45" s="14"/>
      <c r="C45" s="14">
        <v>75023</v>
      </c>
      <c r="D45" s="14"/>
      <c r="E45" s="17" t="s">
        <v>27</v>
      </c>
      <c r="F45" s="57">
        <f>F46+F47</f>
        <v>90000</v>
      </c>
      <c r="G45" s="222">
        <f>G46+G47+G50</f>
        <v>0</v>
      </c>
      <c r="H45" s="57">
        <f>H46+H47</f>
        <v>90000</v>
      </c>
      <c r="I45" s="59"/>
    </row>
    <row r="46" spans="2:9" s="49" customFormat="1" ht="36">
      <c r="B46" s="14"/>
      <c r="C46" s="14"/>
      <c r="D46" s="27">
        <v>6050</v>
      </c>
      <c r="E46" s="28" t="s">
        <v>44</v>
      </c>
      <c r="F46" s="42">
        <v>20000</v>
      </c>
      <c r="G46" s="365"/>
      <c r="H46" s="62">
        <f>F46+G46</f>
        <v>20000</v>
      </c>
      <c r="I46" s="70" t="s">
        <v>230</v>
      </c>
    </row>
    <row r="47" spans="2:9" s="49" customFormat="1" ht="38.25" customHeight="1">
      <c r="B47" s="14"/>
      <c r="C47" s="27"/>
      <c r="D47" s="27">
        <v>6060</v>
      </c>
      <c r="E47" s="28" t="s">
        <v>55</v>
      </c>
      <c r="F47" s="57">
        <f>SUM(F48:F49)</f>
        <v>70000</v>
      </c>
      <c r="G47" s="222">
        <f>SUM(G48:G49)</f>
        <v>0</v>
      </c>
      <c r="H47" s="57">
        <f>SUM(H48:H49)</f>
        <v>70000</v>
      </c>
      <c r="I47" s="59"/>
    </row>
    <row r="48" spans="2:9" s="49" customFormat="1" ht="12.75">
      <c r="B48" s="14"/>
      <c r="C48" s="27"/>
      <c r="D48" s="27"/>
      <c r="E48" s="28"/>
      <c r="F48" s="42">
        <v>15000</v>
      </c>
      <c r="G48" s="365"/>
      <c r="H48" s="62">
        <f>F48+G48</f>
        <v>15000</v>
      </c>
      <c r="I48" s="59" t="s">
        <v>349</v>
      </c>
    </row>
    <row r="49" spans="2:9" s="49" customFormat="1" ht="12.75">
      <c r="B49" s="14"/>
      <c r="C49" s="27"/>
      <c r="D49" s="27"/>
      <c r="E49" s="28"/>
      <c r="F49" s="42">
        <v>55000</v>
      </c>
      <c r="G49" s="365"/>
      <c r="H49" s="62">
        <f>F49+G49</f>
        <v>55000</v>
      </c>
      <c r="I49" s="59" t="s">
        <v>84</v>
      </c>
    </row>
    <row r="50" spans="2:9" s="49" customFormat="1" ht="14.25" customHeight="1">
      <c r="B50" s="14"/>
      <c r="C50" s="14">
        <v>75095</v>
      </c>
      <c r="D50" s="14"/>
      <c r="E50" s="17" t="s">
        <v>34</v>
      </c>
      <c r="F50" s="57">
        <f>F51+F56</f>
        <v>318000</v>
      </c>
      <c r="G50" s="222">
        <f>G51+G56</f>
        <v>0</v>
      </c>
      <c r="H50" s="57">
        <f>H51+H56</f>
        <v>318000</v>
      </c>
      <c r="I50" s="59"/>
    </row>
    <row r="51" spans="2:9" s="49" customFormat="1" ht="25.5">
      <c r="B51" s="14"/>
      <c r="C51" s="27"/>
      <c r="D51" s="27">
        <v>6050</v>
      </c>
      <c r="E51" s="28" t="s">
        <v>44</v>
      </c>
      <c r="F51" s="57">
        <f>SUM(F52:F55)</f>
        <v>318000</v>
      </c>
      <c r="G51" s="222">
        <f>SUM(G52:G55)</f>
        <v>0</v>
      </c>
      <c r="H51" s="57">
        <f>SUM(H52:H55)</f>
        <v>318000</v>
      </c>
      <c r="I51" s="83"/>
    </row>
    <row r="52" spans="2:9" s="49" customFormat="1" ht="12.75">
      <c r="B52" s="14"/>
      <c r="C52" s="27"/>
      <c r="D52" s="27"/>
      <c r="E52" s="28"/>
      <c r="F52" s="42">
        <v>27000</v>
      </c>
      <c r="G52" s="365"/>
      <c r="H52" s="62">
        <f>F52+G52</f>
        <v>27000</v>
      </c>
      <c r="I52" s="83" t="s">
        <v>350</v>
      </c>
    </row>
    <row r="53" spans="2:9" s="49" customFormat="1" ht="12.75">
      <c r="B53" s="14"/>
      <c r="C53" s="27"/>
      <c r="D53" s="27"/>
      <c r="E53" s="28"/>
      <c r="F53" s="42">
        <v>30000</v>
      </c>
      <c r="G53" s="365"/>
      <c r="H53" s="62">
        <f>F53+G53</f>
        <v>30000</v>
      </c>
      <c r="I53" s="83" t="s">
        <v>351</v>
      </c>
    </row>
    <row r="54" spans="2:9" s="49" customFormat="1" ht="12.75">
      <c r="B54" s="14"/>
      <c r="C54" s="27"/>
      <c r="D54" s="27"/>
      <c r="E54" s="28"/>
      <c r="F54" s="42">
        <v>50000</v>
      </c>
      <c r="G54" s="365"/>
      <c r="H54" s="62">
        <f>F54+G54</f>
        <v>50000</v>
      </c>
      <c r="I54" s="83" t="s">
        <v>219</v>
      </c>
    </row>
    <row r="55" spans="2:9" s="49" customFormat="1" ht="24">
      <c r="B55" s="14"/>
      <c r="C55" s="27"/>
      <c r="D55" s="27"/>
      <c r="E55" s="28"/>
      <c r="F55" s="42">
        <v>211000</v>
      </c>
      <c r="G55" s="365"/>
      <c r="H55" s="62">
        <f>F55+G55</f>
        <v>211000</v>
      </c>
      <c r="I55" s="83" t="s">
        <v>352</v>
      </c>
    </row>
    <row r="56" spans="2:9" s="49" customFormat="1" ht="38.25" hidden="1">
      <c r="B56" s="14"/>
      <c r="C56" s="27"/>
      <c r="D56" s="27">
        <v>6060</v>
      </c>
      <c r="E56" s="28" t="s">
        <v>55</v>
      </c>
      <c r="F56" s="57">
        <f>SUM(F57:F58)</f>
        <v>0</v>
      </c>
      <c r="G56" s="222">
        <f>SUM(G57:G58)</f>
        <v>0</v>
      </c>
      <c r="H56" s="57">
        <f>SUM(H57:H58)</f>
        <v>0</v>
      </c>
      <c r="I56" s="83"/>
    </row>
    <row r="57" spans="2:9" s="49" customFormat="1" ht="12.75" hidden="1">
      <c r="B57" s="14"/>
      <c r="C57" s="27"/>
      <c r="D57" s="27"/>
      <c r="E57" s="28"/>
      <c r="F57" s="42"/>
      <c r="G57" s="365"/>
      <c r="H57" s="62">
        <f>F57+G57</f>
        <v>0</v>
      </c>
      <c r="I57" s="83" t="s">
        <v>220</v>
      </c>
    </row>
    <row r="58" spans="2:9" s="49" customFormat="1" ht="12.75" hidden="1">
      <c r="B58" s="14"/>
      <c r="C58" s="27"/>
      <c r="D58" s="27"/>
      <c r="E58" s="28"/>
      <c r="F58" s="42"/>
      <c r="G58" s="365"/>
      <c r="H58" s="62">
        <f>F58+G58</f>
        <v>0</v>
      </c>
      <c r="I58" s="83" t="s">
        <v>155</v>
      </c>
    </row>
    <row r="59" spans="2:9" s="49" customFormat="1" ht="25.5">
      <c r="B59" s="31">
        <v>754</v>
      </c>
      <c r="C59" s="31"/>
      <c r="D59" s="31"/>
      <c r="E59" s="32" t="s">
        <v>72</v>
      </c>
      <c r="F59" s="65">
        <f>F60</f>
        <v>15000</v>
      </c>
      <c r="G59" s="361">
        <f>G60</f>
        <v>120000</v>
      </c>
      <c r="H59" s="65">
        <f>H60</f>
        <v>135000</v>
      </c>
      <c r="I59" s="67"/>
    </row>
    <row r="60" spans="2:9" s="49" customFormat="1" ht="12.75">
      <c r="B60" s="14"/>
      <c r="C60" s="14">
        <v>75412</v>
      </c>
      <c r="D60" s="14"/>
      <c r="E60" s="17" t="s">
        <v>73</v>
      </c>
      <c r="F60" s="57">
        <f>SUM(F61:F61)</f>
        <v>15000</v>
      </c>
      <c r="G60" s="222">
        <f>SUM(G61:G61)</f>
        <v>120000</v>
      </c>
      <c r="H60" s="57">
        <f>SUM(H61:H61)</f>
        <v>135000</v>
      </c>
      <c r="I60" s="59"/>
    </row>
    <row r="61" spans="2:9" s="49" customFormat="1" ht="63.75" customHeight="1">
      <c r="B61" s="14"/>
      <c r="C61" s="14"/>
      <c r="D61" s="27">
        <v>6230</v>
      </c>
      <c r="E61" s="28" t="s">
        <v>74</v>
      </c>
      <c r="F61" s="42">
        <v>15000</v>
      </c>
      <c r="G61" s="365">
        <v>120000</v>
      </c>
      <c r="H61" s="42">
        <f>F61+G61</f>
        <v>135000</v>
      </c>
      <c r="I61" s="59" t="s">
        <v>85</v>
      </c>
    </row>
    <row r="62" spans="2:9" s="49" customFormat="1" ht="12.75">
      <c r="B62" s="31">
        <v>801</v>
      </c>
      <c r="C62" s="31"/>
      <c r="D62" s="31"/>
      <c r="E62" s="32" t="s">
        <v>29</v>
      </c>
      <c r="F62" s="65">
        <f>F73+F81+F63+F89+F91</f>
        <v>27788</v>
      </c>
      <c r="G62" s="361">
        <f>G73+G81+G63+G89+G91</f>
        <v>0</v>
      </c>
      <c r="H62" s="65">
        <f>H73+H81+H63+H89+H91</f>
        <v>27788</v>
      </c>
      <c r="I62" s="67"/>
    </row>
    <row r="63" spans="2:9" s="69" customFormat="1" ht="12.75">
      <c r="B63" s="36"/>
      <c r="C63" s="14">
        <v>80101</v>
      </c>
      <c r="D63" s="14"/>
      <c r="E63" s="17" t="s">
        <v>30</v>
      </c>
      <c r="F63" s="38">
        <f>F64+F69</f>
        <v>19300</v>
      </c>
      <c r="G63" s="362">
        <f>G64+G69</f>
        <v>0</v>
      </c>
      <c r="H63" s="38">
        <f>H64+H69</f>
        <v>19300</v>
      </c>
      <c r="I63" s="68"/>
    </row>
    <row r="64" spans="2:9" s="69" customFormat="1" ht="25.5">
      <c r="B64" s="36"/>
      <c r="C64" s="14"/>
      <c r="D64" s="27">
        <v>6050</v>
      </c>
      <c r="E64" s="28" t="s">
        <v>44</v>
      </c>
      <c r="F64" s="38">
        <f>SUM(F65:F68)</f>
        <v>15000</v>
      </c>
      <c r="G64" s="362">
        <f>SUM(G65:G68)</f>
        <v>0</v>
      </c>
      <c r="H64" s="38">
        <f>SUM(H65:H68)</f>
        <v>15000</v>
      </c>
      <c r="I64" s="68"/>
    </row>
    <row r="65" spans="2:9" s="69" customFormat="1" ht="24">
      <c r="B65" s="36"/>
      <c r="C65" s="14"/>
      <c r="D65" s="27"/>
      <c r="E65" s="28"/>
      <c r="F65" s="37">
        <v>0</v>
      </c>
      <c r="G65" s="441"/>
      <c r="H65" s="42">
        <f aca="true" t="shared" si="1" ref="H65:H72">F65+G65</f>
        <v>0</v>
      </c>
      <c r="I65" s="68" t="s">
        <v>353</v>
      </c>
    </row>
    <row r="66" spans="2:9" s="69" customFormat="1" ht="12.75">
      <c r="B66" s="36"/>
      <c r="C66" s="14"/>
      <c r="D66" s="27"/>
      <c r="E66" s="28"/>
      <c r="F66" s="37">
        <v>0</v>
      </c>
      <c r="G66" s="441"/>
      <c r="H66" s="42">
        <f t="shared" si="1"/>
        <v>0</v>
      </c>
      <c r="I66" s="68" t="s">
        <v>354</v>
      </c>
    </row>
    <row r="67" spans="2:9" s="69" customFormat="1" ht="12.75">
      <c r="B67" s="36"/>
      <c r="C67" s="14"/>
      <c r="D67" s="27"/>
      <c r="E67" s="28"/>
      <c r="F67" s="37">
        <v>15000</v>
      </c>
      <c r="G67" s="441"/>
      <c r="H67" s="42">
        <f t="shared" si="1"/>
        <v>15000</v>
      </c>
      <c r="I67" s="68" t="s">
        <v>355</v>
      </c>
    </row>
    <row r="68" spans="2:9" s="69" customFormat="1" ht="24">
      <c r="B68" s="36"/>
      <c r="C68" s="14"/>
      <c r="D68" s="27"/>
      <c r="E68" s="28"/>
      <c r="F68" s="37">
        <v>0</v>
      </c>
      <c r="G68" s="441"/>
      <c r="H68" s="42">
        <f t="shared" si="1"/>
        <v>0</v>
      </c>
      <c r="I68" s="68" t="s">
        <v>356</v>
      </c>
    </row>
    <row r="69" spans="2:9" s="49" customFormat="1" ht="38.25">
      <c r="B69" s="14"/>
      <c r="C69" s="27"/>
      <c r="D69" s="27">
        <v>6060</v>
      </c>
      <c r="E69" s="28" t="s">
        <v>55</v>
      </c>
      <c r="F69" s="57">
        <f>SUM(F70:F72)</f>
        <v>4300</v>
      </c>
      <c r="G69" s="222">
        <f>SUM(G70:G72)</f>
        <v>0</v>
      </c>
      <c r="H69" s="363">
        <f>F69+G69</f>
        <v>4300</v>
      </c>
      <c r="I69" s="59"/>
    </row>
    <row r="70" spans="2:9" s="49" customFormat="1" ht="24">
      <c r="B70" s="14"/>
      <c r="C70" s="27"/>
      <c r="D70" s="27"/>
      <c r="E70" s="28"/>
      <c r="F70" s="42">
        <v>2500</v>
      </c>
      <c r="G70" s="365"/>
      <c r="H70" s="42">
        <f t="shared" si="1"/>
        <v>2500</v>
      </c>
      <c r="I70" s="59" t="s">
        <v>357</v>
      </c>
    </row>
    <row r="71" spans="2:9" s="49" customFormat="1" ht="24">
      <c r="B71" s="14"/>
      <c r="C71" s="27"/>
      <c r="D71" s="27"/>
      <c r="E71" s="28"/>
      <c r="F71" s="42">
        <v>0</v>
      </c>
      <c r="G71" s="365"/>
      <c r="H71" s="42">
        <f t="shared" si="1"/>
        <v>0</v>
      </c>
      <c r="I71" s="59" t="s">
        <v>358</v>
      </c>
    </row>
    <row r="72" spans="2:9" s="49" customFormat="1" ht="12.75">
      <c r="B72" s="14"/>
      <c r="C72" s="27"/>
      <c r="D72" s="27"/>
      <c r="E72" s="28"/>
      <c r="F72" s="42">
        <v>1800</v>
      </c>
      <c r="G72" s="365"/>
      <c r="H72" s="42">
        <f t="shared" si="1"/>
        <v>1800</v>
      </c>
      <c r="I72" s="59" t="s">
        <v>359</v>
      </c>
    </row>
    <row r="73" spans="2:9" s="49" customFormat="1" ht="12.75">
      <c r="B73" s="14"/>
      <c r="C73" s="14">
        <v>80104</v>
      </c>
      <c r="D73" s="14"/>
      <c r="E73" s="17" t="s">
        <v>32</v>
      </c>
      <c r="F73" s="57">
        <f>F74+F78</f>
        <v>8488</v>
      </c>
      <c r="G73" s="222">
        <f>G74+G78</f>
        <v>0</v>
      </c>
      <c r="H73" s="57">
        <f>H74+H78</f>
        <v>8488</v>
      </c>
      <c r="I73" s="59"/>
    </row>
    <row r="74" spans="2:9" s="49" customFormat="1" ht="25.5" hidden="1">
      <c r="B74" s="14"/>
      <c r="C74" s="27"/>
      <c r="D74" s="27">
        <v>6050</v>
      </c>
      <c r="E74" s="28" t="s">
        <v>44</v>
      </c>
      <c r="F74" s="42"/>
      <c r="G74" s="365"/>
      <c r="H74" s="62">
        <f>F74+G74</f>
        <v>0</v>
      </c>
      <c r="I74" s="59" t="s">
        <v>221</v>
      </c>
    </row>
    <row r="75" spans="2:9" s="49" customFormat="1" ht="12.75" hidden="1">
      <c r="B75" s="14"/>
      <c r="C75" s="27"/>
      <c r="D75" s="27"/>
      <c r="E75" s="28"/>
      <c r="F75" s="42"/>
      <c r="G75" s="365"/>
      <c r="H75" s="62">
        <f>F75+G75</f>
        <v>0</v>
      </c>
      <c r="I75" s="59" t="s">
        <v>87</v>
      </c>
    </row>
    <row r="76" spans="2:9" s="49" customFormat="1" ht="12.75" hidden="1">
      <c r="B76" s="14"/>
      <c r="C76" s="27"/>
      <c r="D76" s="27"/>
      <c r="E76" s="28"/>
      <c r="F76" s="42"/>
      <c r="G76" s="365"/>
      <c r="H76" s="62">
        <f>F76+G76</f>
        <v>0</v>
      </c>
      <c r="I76" s="59" t="s">
        <v>92</v>
      </c>
    </row>
    <row r="77" spans="2:9" s="49" customFormat="1" ht="12.75" hidden="1">
      <c r="B77" s="14"/>
      <c r="C77" s="27"/>
      <c r="D77" s="27"/>
      <c r="E77" s="28"/>
      <c r="F77" s="42"/>
      <c r="G77" s="365"/>
      <c r="H77" s="62">
        <f>F77+G77</f>
        <v>0</v>
      </c>
      <c r="I77" s="84" t="s">
        <v>88</v>
      </c>
    </row>
    <row r="78" spans="2:9" s="49" customFormat="1" ht="27.75" customHeight="1">
      <c r="B78" s="14"/>
      <c r="C78" s="27"/>
      <c r="D78" s="27">
        <v>6060</v>
      </c>
      <c r="E78" s="28" t="s">
        <v>55</v>
      </c>
      <c r="F78" s="57">
        <f>SUM(F79:F80)</f>
        <v>8488</v>
      </c>
      <c r="G78" s="222">
        <f>SUM(G79:G80)</f>
        <v>0</v>
      </c>
      <c r="H78" s="57">
        <f>SUM(H79:H80)</f>
        <v>8488</v>
      </c>
      <c r="I78" s="85"/>
    </row>
    <row r="79" spans="2:9" s="49" customFormat="1" ht="12.75">
      <c r="B79" s="14"/>
      <c r="C79" s="27"/>
      <c r="D79" s="27"/>
      <c r="E79" s="28"/>
      <c r="F79" s="42">
        <v>4502</v>
      </c>
      <c r="G79" s="365"/>
      <c r="H79" s="62">
        <f>F79+G79</f>
        <v>4502</v>
      </c>
      <c r="I79" s="85" t="s">
        <v>360</v>
      </c>
    </row>
    <row r="80" spans="2:9" s="49" customFormat="1" ht="12.75">
      <c r="B80" s="14"/>
      <c r="C80" s="27"/>
      <c r="D80" s="27"/>
      <c r="E80" s="28"/>
      <c r="F80" s="42">
        <v>3986</v>
      </c>
      <c r="G80" s="365"/>
      <c r="H80" s="62">
        <f>F80+G80</f>
        <v>3986</v>
      </c>
      <c r="I80" s="85" t="s">
        <v>151</v>
      </c>
    </row>
    <row r="81" spans="2:9" s="49" customFormat="1" ht="12.75" hidden="1">
      <c r="B81" s="14"/>
      <c r="C81" s="14">
        <v>80110</v>
      </c>
      <c r="D81" s="14"/>
      <c r="E81" s="17" t="s">
        <v>33</v>
      </c>
      <c r="F81" s="57">
        <f>F82+F86</f>
        <v>0</v>
      </c>
      <c r="G81" s="222">
        <f>G82+G86</f>
        <v>0</v>
      </c>
      <c r="H81" s="57">
        <f>H82+H86</f>
        <v>0</v>
      </c>
      <c r="I81" s="59"/>
    </row>
    <row r="82" spans="2:9" s="49" customFormat="1" ht="25.5" hidden="1">
      <c r="B82" s="14"/>
      <c r="C82" s="14"/>
      <c r="D82" s="27">
        <v>6050</v>
      </c>
      <c r="E82" s="28" t="s">
        <v>44</v>
      </c>
      <c r="F82" s="57">
        <f>SUM(F83:F85)</f>
        <v>0</v>
      </c>
      <c r="G82" s="222">
        <f>SUM(G83:G85)</f>
        <v>0</v>
      </c>
      <c r="H82" s="57">
        <f>SUM(H83:H85)</f>
        <v>0</v>
      </c>
      <c r="I82" s="59"/>
    </row>
    <row r="83" spans="2:9" s="49" customFormat="1" ht="19.5" customHeight="1" hidden="1">
      <c r="B83" s="14"/>
      <c r="C83" s="14"/>
      <c r="D83" s="27"/>
      <c r="E83" s="28"/>
      <c r="F83" s="42"/>
      <c r="G83" s="365"/>
      <c r="H83" s="62">
        <f>F83+G83</f>
        <v>0</v>
      </c>
      <c r="I83" s="59" t="s">
        <v>156</v>
      </c>
    </row>
    <row r="84" spans="2:9" s="49" customFormat="1" ht="12.75" hidden="1">
      <c r="B84" s="14"/>
      <c r="C84" s="14"/>
      <c r="D84" s="27"/>
      <c r="E84" s="28"/>
      <c r="F84" s="42"/>
      <c r="G84" s="365"/>
      <c r="H84" s="62">
        <f>F84+G84</f>
        <v>0</v>
      </c>
      <c r="I84" s="59" t="s">
        <v>233</v>
      </c>
    </row>
    <row r="85" spans="2:9" s="49" customFormat="1" ht="12.75" hidden="1">
      <c r="B85" s="14"/>
      <c r="C85" s="14"/>
      <c r="D85" s="27"/>
      <c r="E85" s="28"/>
      <c r="F85" s="42"/>
      <c r="G85" s="365"/>
      <c r="H85" s="62">
        <f>F85+G85</f>
        <v>0</v>
      </c>
      <c r="I85" s="59" t="s">
        <v>157</v>
      </c>
    </row>
    <row r="86" spans="2:9" s="49" customFormat="1" ht="42" customHeight="1" hidden="1">
      <c r="B86" s="14"/>
      <c r="C86" s="14"/>
      <c r="D86" s="27">
        <v>6060</v>
      </c>
      <c r="E86" s="28" t="s">
        <v>55</v>
      </c>
      <c r="F86" s="57">
        <f>SUM(F87:F88)</f>
        <v>0</v>
      </c>
      <c r="G86" s="222">
        <f>SUM(G87:G88)</f>
        <v>0</v>
      </c>
      <c r="H86" s="57">
        <f>SUM(H87:H88)</f>
        <v>0</v>
      </c>
      <c r="I86" s="59"/>
    </row>
    <row r="87" spans="2:9" s="49" customFormat="1" ht="12.75" hidden="1">
      <c r="B87" s="14"/>
      <c r="C87" s="14"/>
      <c r="D87" s="27"/>
      <c r="E87" s="28"/>
      <c r="F87" s="42"/>
      <c r="G87" s="365"/>
      <c r="H87" s="62">
        <f>F87+G87</f>
        <v>0</v>
      </c>
      <c r="I87" s="59" t="s">
        <v>222</v>
      </c>
    </row>
    <row r="88" spans="2:9" s="49" customFormat="1" ht="12.75" hidden="1">
      <c r="B88" s="14"/>
      <c r="C88" s="14"/>
      <c r="D88" s="27"/>
      <c r="E88" s="28"/>
      <c r="F88" s="42"/>
      <c r="G88" s="365"/>
      <c r="H88" s="62">
        <f>F88+G88</f>
        <v>0</v>
      </c>
      <c r="I88" s="59" t="s">
        <v>223</v>
      </c>
    </row>
    <row r="89" spans="2:9" s="49" customFormat="1" ht="25.5">
      <c r="B89" s="14"/>
      <c r="C89" s="14">
        <v>80114</v>
      </c>
      <c r="D89" s="14"/>
      <c r="E89" s="17" t="s">
        <v>76</v>
      </c>
      <c r="F89" s="57">
        <f>F90</f>
        <v>0</v>
      </c>
      <c r="G89" s="222">
        <f>G90</f>
        <v>0</v>
      </c>
      <c r="H89" s="57">
        <f>H90</f>
        <v>0</v>
      </c>
      <c r="I89" s="59"/>
    </row>
    <row r="90" spans="2:9" s="49" customFormat="1" ht="38.25">
      <c r="B90" s="14"/>
      <c r="C90" s="14"/>
      <c r="D90" s="27">
        <v>6060</v>
      </c>
      <c r="E90" s="28" t="s">
        <v>55</v>
      </c>
      <c r="F90" s="42">
        <v>0</v>
      </c>
      <c r="G90" s="365"/>
      <c r="H90" s="62">
        <f>F90+G90</f>
        <v>0</v>
      </c>
      <c r="I90" s="59" t="s">
        <v>86</v>
      </c>
    </row>
    <row r="91" spans="2:9" s="49" customFormat="1" ht="12.75" hidden="1">
      <c r="B91" s="14"/>
      <c r="C91" s="14">
        <v>80195</v>
      </c>
      <c r="D91" s="14"/>
      <c r="E91" s="17" t="s">
        <v>34</v>
      </c>
      <c r="F91" s="57">
        <f>F92</f>
        <v>0</v>
      </c>
      <c r="G91" s="222">
        <f>G92</f>
        <v>0</v>
      </c>
      <c r="H91" s="57">
        <f>H92</f>
        <v>0</v>
      </c>
      <c r="I91" s="59"/>
    </row>
    <row r="92" spans="2:9" s="49" customFormat="1" ht="38.25" hidden="1">
      <c r="B92" s="14"/>
      <c r="C92" s="14"/>
      <c r="D92" s="27">
        <v>6060</v>
      </c>
      <c r="E92" s="28" t="s">
        <v>55</v>
      </c>
      <c r="F92" s="62"/>
      <c r="G92" s="365"/>
      <c r="H92" s="62">
        <f>F92+G92</f>
        <v>0</v>
      </c>
      <c r="I92" s="59" t="s">
        <v>236</v>
      </c>
    </row>
    <row r="93" spans="2:9" s="49" customFormat="1" ht="12.75">
      <c r="B93" s="30">
        <v>851</v>
      </c>
      <c r="C93" s="41"/>
      <c r="D93" s="41"/>
      <c r="E93" s="32" t="s">
        <v>89</v>
      </c>
      <c r="F93" s="65">
        <f aca="true" t="shared" si="2" ref="F93:H94">F94</f>
        <v>16000</v>
      </c>
      <c r="G93" s="361">
        <f t="shared" si="2"/>
        <v>0</v>
      </c>
      <c r="H93" s="65">
        <f>H94+H98</f>
        <v>16000</v>
      </c>
      <c r="I93" s="67"/>
    </row>
    <row r="94" spans="2:9" s="49" customFormat="1" ht="25.5">
      <c r="B94" s="24"/>
      <c r="C94" s="14">
        <v>85154</v>
      </c>
      <c r="D94" s="14"/>
      <c r="E94" s="17" t="s">
        <v>90</v>
      </c>
      <c r="F94" s="57">
        <f>F95+F98</f>
        <v>16000</v>
      </c>
      <c r="G94" s="222">
        <f t="shared" si="2"/>
        <v>0</v>
      </c>
      <c r="H94" s="57">
        <f t="shared" si="2"/>
        <v>6000</v>
      </c>
      <c r="I94" s="59"/>
    </row>
    <row r="95" spans="2:9" s="49" customFormat="1" ht="38.25">
      <c r="B95" s="14"/>
      <c r="C95" s="14"/>
      <c r="D95" s="27">
        <v>6060</v>
      </c>
      <c r="E95" s="28" t="s">
        <v>55</v>
      </c>
      <c r="F95" s="61">
        <f>SUM(F96:F97)</f>
        <v>6000</v>
      </c>
      <c r="G95" s="463">
        <f>SUM(G96:G97)</f>
        <v>0</v>
      </c>
      <c r="H95" s="61">
        <f>SUM(H96:H97)</f>
        <v>6000</v>
      </c>
      <c r="I95" s="59"/>
    </row>
    <row r="96" spans="2:9" s="49" customFormat="1" ht="12.75">
      <c r="B96" s="14"/>
      <c r="C96" s="14"/>
      <c r="D96" s="27"/>
      <c r="E96" s="28"/>
      <c r="F96" s="42">
        <v>6000</v>
      </c>
      <c r="G96" s="365"/>
      <c r="H96" s="62">
        <f>F96+G96</f>
        <v>6000</v>
      </c>
      <c r="I96" s="59" t="s">
        <v>361</v>
      </c>
    </row>
    <row r="97" spans="2:9" s="49" customFormat="1" ht="12.75" hidden="1">
      <c r="B97" s="14"/>
      <c r="C97" s="14"/>
      <c r="D97" s="27"/>
      <c r="E97" s="28"/>
      <c r="F97" s="42"/>
      <c r="G97" s="365"/>
      <c r="H97" s="62">
        <f>F97+G97</f>
        <v>0</v>
      </c>
      <c r="I97" s="59" t="s">
        <v>237</v>
      </c>
    </row>
    <row r="98" spans="2:9" s="49" customFormat="1" ht="12.75">
      <c r="B98" s="14"/>
      <c r="C98" s="14">
        <v>85195</v>
      </c>
      <c r="D98" s="14"/>
      <c r="E98" s="17" t="s">
        <v>34</v>
      </c>
      <c r="F98" s="57">
        <f>F99</f>
        <v>10000</v>
      </c>
      <c r="G98" s="222">
        <f>G99</f>
        <v>0</v>
      </c>
      <c r="H98" s="57">
        <f>H99</f>
        <v>10000</v>
      </c>
      <c r="I98" s="59"/>
    </row>
    <row r="99" spans="2:9" s="49" customFormat="1" ht="25.5">
      <c r="B99" s="14"/>
      <c r="C99" s="14"/>
      <c r="D99" s="27">
        <v>6050</v>
      </c>
      <c r="E99" s="28" t="s">
        <v>44</v>
      </c>
      <c r="F99" s="42">
        <v>10000</v>
      </c>
      <c r="G99" s="365"/>
      <c r="H99" s="62">
        <f>F99+G99</f>
        <v>10000</v>
      </c>
      <c r="I99" s="223" t="s">
        <v>243</v>
      </c>
    </row>
    <row r="100" spans="2:9" s="49" customFormat="1" ht="25.5">
      <c r="B100" s="31">
        <v>900</v>
      </c>
      <c r="C100" s="31"/>
      <c r="D100" s="31"/>
      <c r="E100" s="32" t="s">
        <v>35</v>
      </c>
      <c r="F100" s="65">
        <f>F103+F108</f>
        <v>255000</v>
      </c>
      <c r="G100" s="361">
        <f>G103+G108</f>
        <v>0</v>
      </c>
      <c r="H100" s="65">
        <f>H103+H108</f>
        <v>255000</v>
      </c>
      <c r="I100" s="67"/>
    </row>
    <row r="101" spans="2:9" s="69" customFormat="1" ht="25.5" hidden="1">
      <c r="B101" s="36"/>
      <c r="C101" s="14">
        <v>90001</v>
      </c>
      <c r="D101" s="14"/>
      <c r="E101" s="17" t="s">
        <v>77</v>
      </c>
      <c r="F101" s="38">
        <f>F102</f>
        <v>0</v>
      </c>
      <c r="G101" s="362">
        <f>G102</f>
        <v>0</v>
      </c>
      <c r="H101" s="38">
        <f>H102</f>
        <v>0</v>
      </c>
      <c r="I101" s="68"/>
    </row>
    <row r="102" spans="2:9" s="69" customFormat="1" ht="25.5" hidden="1">
      <c r="B102" s="36"/>
      <c r="C102" s="36"/>
      <c r="D102" s="27">
        <v>6050</v>
      </c>
      <c r="E102" s="28" t="s">
        <v>44</v>
      </c>
      <c r="F102" s="37">
        <v>0</v>
      </c>
      <c r="G102" s="441"/>
      <c r="H102" s="62">
        <f>F102+G102</f>
        <v>0</v>
      </c>
      <c r="I102" s="68" t="s">
        <v>91</v>
      </c>
    </row>
    <row r="103" spans="2:9" s="49" customFormat="1" ht="25.5">
      <c r="B103" s="14"/>
      <c r="C103" s="14">
        <v>90015</v>
      </c>
      <c r="D103" s="14"/>
      <c r="E103" s="17" t="s">
        <v>78</v>
      </c>
      <c r="F103" s="57">
        <f>F104</f>
        <v>55000</v>
      </c>
      <c r="G103" s="222">
        <f>G104</f>
        <v>0</v>
      </c>
      <c r="H103" s="57">
        <f>H104</f>
        <v>55000</v>
      </c>
      <c r="I103" s="59"/>
    </row>
    <row r="104" spans="2:9" s="49" customFormat="1" ht="28.5" customHeight="1">
      <c r="B104" s="14"/>
      <c r="C104" s="27"/>
      <c r="D104" s="27">
        <v>6050</v>
      </c>
      <c r="E104" s="28" t="s">
        <v>44</v>
      </c>
      <c r="F104" s="57">
        <f>SUM(F105:F107)</f>
        <v>55000</v>
      </c>
      <c r="G104" s="222">
        <f>SUM(G105:G107)</f>
        <v>0</v>
      </c>
      <c r="H104" s="57">
        <f>SUM(H105:H107)</f>
        <v>55000</v>
      </c>
      <c r="I104" s="59"/>
    </row>
    <row r="105" spans="2:9" s="49" customFormat="1" ht="12.75">
      <c r="B105" s="14"/>
      <c r="C105" s="27"/>
      <c r="D105" s="27"/>
      <c r="E105" s="28"/>
      <c r="F105" s="42">
        <v>12000</v>
      </c>
      <c r="G105" s="365"/>
      <c r="H105" s="62">
        <f>F105+G105</f>
        <v>12000</v>
      </c>
      <c r="I105" s="59" t="s">
        <v>362</v>
      </c>
    </row>
    <row r="106" spans="2:9" s="49" customFormat="1" ht="24">
      <c r="B106" s="14"/>
      <c r="C106" s="27"/>
      <c r="D106" s="27"/>
      <c r="E106" s="28"/>
      <c r="F106" s="42">
        <v>18000</v>
      </c>
      <c r="G106" s="365"/>
      <c r="H106" s="62">
        <f>F106+G106</f>
        <v>18000</v>
      </c>
      <c r="I106" s="59" t="s">
        <v>363</v>
      </c>
    </row>
    <row r="107" spans="2:9" s="49" customFormat="1" ht="24">
      <c r="B107" s="14"/>
      <c r="C107" s="27"/>
      <c r="D107" s="27"/>
      <c r="E107" s="28"/>
      <c r="F107" s="42">
        <v>25000</v>
      </c>
      <c r="G107" s="365"/>
      <c r="H107" s="62">
        <f>F107+G107</f>
        <v>25000</v>
      </c>
      <c r="I107" s="59" t="s">
        <v>364</v>
      </c>
    </row>
    <row r="108" spans="2:9" s="49" customFormat="1" ht="12.75">
      <c r="B108" s="14"/>
      <c r="C108" s="14">
        <v>90095</v>
      </c>
      <c r="D108" s="14"/>
      <c r="E108" s="17" t="s">
        <v>34</v>
      </c>
      <c r="F108" s="57">
        <f>F109</f>
        <v>200000</v>
      </c>
      <c r="G108" s="222">
        <f>G109</f>
        <v>0</v>
      </c>
      <c r="H108" s="57">
        <f>H109</f>
        <v>200000</v>
      </c>
      <c r="I108" s="59"/>
    </row>
    <row r="109" spans="2:9" s="49" customFormat="1" ht="25.5">
      <c r="B109" s="14"/>
      <c r="C109" s="27"/>
      <c r="D109" s="27">
        <v>6050</v>
      </c>
      <c r="E109" s="28" t="s">
        <v>44</v>
      </c>
      <c r="F109" s="42">
        <v>200000</v>
      </c>
      <c r="G109" s="365"/>
      <c r="H109" s="62">
        <f>F109+G109</f>
        <v>200000</v>
      </c>
      <c r="I109" s="198" t="s">
        <v>232</v>
      </c>
    </row>
    <row r="110" spans="2:9" s="49" customFormat="1" ht="12.75">
      <c r="B110" s="30">
        <v>926</v>
      </c>
      <c r="C110" s="31"/>
      <c r="D110" s="31"/>
      <c r="E110" s="32" t="s">
        <v>13</v>
      </c>
      <c r="F110" s="65">
        <f>F113</f>
        <v>1533000</v>
      </c>
      <c r="G110" s="361">
        <f>G111+G113</f>
        <v>0</v>
      </c>
      <c r="H110" s="65">
        <f>H111+H113</f>
        <v>1533000</v>
      </c>
      <c r="I110" s="67"/>
    </row>
    <row r="111" spans="2:9" s="69" customFormat="1" ht="12.75">
      <c r="B111" s="36"/>
      <c r="C111" s="36">
        <v>92601</v>
      </c>
      <c r="D111" s="36"/>
      <c r="E111" s="130" t="s">
        <v>477</v>
      </c>
      <c r="F111" s="38">
        <f>F112</f>
        <v>0</v>
      </c>
      <c r="G111" s="362">
        <f>G112</f>
        <v>1483000</v>
      </c>
      <c r="H111" s="38">
        <f>H112</f>
        <v>1483000</v>
      </c>
      <c r="I111" s="68"/>
    </row>
    <row r="112" spans="2:9" s="69" customFormat="1" ht="25.5">
      <c r="B112" s="36"/>
      <c r="C112" s="36"/>
      <c r="D112" s="27">
        <v>6050</v>
      </c>
      <c r="E112" s="28" t="s">
        <v>44</v>
      </c>
      <c r="F112" s="38"/>
      <c r="G112" s="441">
        <v>1483000</v>
      </c>
      <c r="H112" s="62">
        <f>F112+G112</f>
        <v>1483000</v>
      </c>
      <c r="I112" s="68"/>
    </row>
    <row r="113" spans="2:9" s="49" customFormat="1" ht="12.75">
      <c r="B113" s="14"/>
      <c r="C113" s="14">
        <v>92695</v>
      </c>
      <c r="D113" s="14"/>
      <c r="E113" s="17" t="s">
        <v>34</v>
      </c>
      <c r="F113" s="57">
        <f>F114</f>
        <v>1533000</v>
      </c>
      <c r="G113" s="242">
        <f>G114</f>
        <v>-1483000</v>
      </c>
      <c r="H113" s="57">
        <f>H114</f>
        <v>50000</v>
      </c>
      <c r="I113" s="59"/>
    </row>
    <row r="114" spans="2:9" s="49" customFormat="1" ht="25.5">
      <c r="B114" s="14"/>
      <c r="C114" s="27"/>
      <c r="D114" s="27">
        <v>6050</v>
      </c>
      <c r="E114" s="28" t="s">
        <v>44</v>
      </c>
      <c r="F114" s="364">
        <f>SUM(F115:F116)</f>
        <v>1533000</v>
      </c>
      <c r="G114" s="467">
        <f>SUM(G115:G116)</f>
        <v>-1483000</v>
      </c>
      <c r="H114" s="364">
        <f>SUM(H115:H116)</f>
        <v>50000</v>
      </c>
      <c r="I114" s="59"/>
    </row>
    <row r="115" spans="2:9" s="49" customFormat="1" ht="24">
      <c r="B115" s="14"/>
      <c r="C115" s="27"/>
      <c r="D115" s="27"/>
      <c r="E115" s="28"/>
      <c r="F115" s="42">
        <v>50000</v>
      </c>
      <c r="G115" s="226"/>
      <c r="H115" s="62">
        <f>F115+G115</f>
        <v>50000</v>
      </c>
      <c r="I115" s="59" t="s">
        <v>224</v>
      </c>
    </row>
    <row r="116" spans="2:9" s="49" customFormat="1" ht="12.75">
      <c r="B116" s="14"/>
      <c r="C116" s="27"/>
      <c r="D116" s="27"/>
      <c r="E116" s="28"/>
      <c r="F116" s="42">
        <v>1483000</v>
      </c>
      <c r="G116" s="226">
        <v>-1483000</v>
      </c>
      <c r="H116" s="62">
        <f>F116+G116</f>
        <v>0</v>
      </c>
      <c r="I116" s="59" t="s">
        <v>244</v>
      </c>
    </row>
    <row r="117" spans="2:9" s="49" customFormat="1" ht="12.75">
      <c r="B117" s="86"/>
      <c r="C117" s="87"/>
      <c r="D117" s="87"/>
      <c r="E117" s="88" t="s">
        <v>79</v>
      </c>
      <c r="F117" s="89">
        <f>F7+F19+F29+F44+F59+F62+F100+F93+F110</f>
        <v>3322481</v>
      </c>
      <c r="G117" s="468">
        <f>G7+G19+G29+G44+G59+G62+G100+G93+G110</f>
        <v>120000</v>
      </c>
      <c r="H117" s="89">
        <f>H7+H19+H29+H44+H59+H62+H100+H93+H110</f>
        <v>3442481</v>
      </c>
      <c r="I117" s="90"/>
    </row>
    <row r="118" spans="6:9" s="49" customFormat="1" ht="12.75">
      <c r="F118" s="91"/>
      <c r="G118" s="445"/>
      <c r="H118" s="91"/>
      <c r="I118" s="93"/>
    </row>
    <row r="119" spans="5:9" s="49" customFormat="1" ht="15.75">
      <c r="E119" s="94"/>
      <c r="F119" s="95"/>
      <c r="G119" s="469"/>
      <c r="H119" s="95"/>
      <c r="I119" s="93"/>
    </row>
    <row r="120" spans="4:9" s="49" customFormat="1" ht="12.75">
      <c r="D120" s="96"/>
      <c r="E120" s="91"/>
      <c r="G120" s="470"/>
      <c r="I120" s="97"/>
    </row>
    <row r="121" spans="7:9" s="49" customFormat="1" ht="12.75">
      <c r="G121" s="470"/>
      <c r="I121" s="97"/>
    </row>
    <row r="122" spans="5:9" s="49" customFormat="1" ht="12.75">
      <c r="E122" s="91"/>
      <c r="F122" s="91"/>
      <c r="G122" s="445"/>
      <c r="H122" s="91"/>
      <c r="I122" s="97"/>
    </row>
    <row r="123" spans="6:9" s="49" customFormat="1" ht="12.75">
      <c r="F123" s="91"/>
      <c r="G123" s="445"/>
      <c r="H123" s="91"/>
      <c r="I123" s="97"/>
    </row>
    <row r="124" spans="6:9" s="49" customFormat="1" ht="12.75">
      <c r="F124" s="91"/>
      <c r="G124" s="445"/>
      <c r="H124" s="91"/>
      <c r="I124" s="97"/>
    </row>
    <row r="125" spans="6:9" s="49" customFormat="1" ht="12.75">
      <c r="F125" s="91"/>
      <c r="G125" s="445"/>
      <c r="H125" s="91"/>
      <c r="I125" s="97"/>
    </row>
    <row r="126" spans="6:9" s="49" customFormat="1" ht="12.75">
      <c r="F126" s="91"/>
      <c r="G126" s="445"/>
      <c r="H126" s="91"/>
      <c r="I126" s="97"/>
    </row>
    <row r="127" spans="6:9" s="49" customFormat="1" ht="12.75">
      <c r="F127" s="91"/>
      <c r="G127" s="445"/>
      <c r="H127" s="91"/>
      <c r="I127" s="97"/>
    </row>
    <row r="128" spans="6:9" s="49" customFormat="1" ht="12.75">
      <c r="F128" s="91"/>
      <c r="G128" s="445"/>
      <c r="H128" s="91"/>
      <c r="I128" s="97"/>
    </row>
    <row r="129" spans="6:9" s="49" customFormat="1" ht="12.75">
      <c r="F129" s="91"/>
      <c r="G129" s="445"/>
      <c r="H129" s="91"/>
      <c r="I129" s="97"/>
    </row>
    <row r="130" spans="7:9" s="49" customFormat="1" ht="12.75">
      <c r="G130" s="470"/>
      <c r="I130" s="97"/>
    </row>
    <row r="131" spans="7:9" s="49" customFormat="1" ht="12.75">
      <c r="G131" s="470"/>
      <c r="I131" s="97"/>
    </row>
  </sheetData>
  <sheetProtection/>
  <mergeCells count="9">
    <mergeCell ref="H3:H4"/>
    <mergeCell ref="I3:I4"/>
    <mergeCell ref="I24:I25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0"/>
  <sheetViews>
    <sheetView tabSelected="1" zoomScale="150" zoomScaleNormal="150" zoomScalePageLayoutView="0" workbookViewId="0" topLeftCell="G1">
      <selection activeCell="R64" sqref="R64"/>
    </sheetView>
  </sheetViews>
  <sheetFormatPr defaultColWidth="9.140625" defaultRowHeight="12.75"/>
  <cols>
    <col min="1" max="1" width="7.57421875" style="471" customWidth="1"/>
    <col min="2" max="2" width="2.421875" style="471" bestFit="1" customWidth="1"/>
    <col min="3" max="3" width="43.421875" style="471" bestFit="1" customWidth="1"/>
    <col min="4" max="4" width="14.8515625" style="471" bestFit="1" customWidth="1"/>
    <col min="5" max="5" width="8.28125" style="471" bestFit="1" customWidth="1"/>
    <col min="6" max="6" width="10.57421875" style="471" bestFit="1" customWidth="1"/>
    <col min="7" max="7" width="7.57421875" style="471" customWidth="1"/>
    <col min="8" max="8" width="8.28125" style="471" bestFit="1" customWidth="1"/>
    <col min="9" max="10" width="7.57421875" style="471" customWidth="1"/>
    <col min="11" max="11" width="9.140625" style="471" bestFit="1" customWidth="1"/>
    <col min="12" max="12" width="3.7109375" style="471" bestFit="1" customWidth="1"/>
    <col min="13" max="13" width="6.57421875" style="471" bestFit="1" customWidth="1"/>
    <col min="14" max="14" width="8.28125" style="471" bestFit="1" customWidth="1"/>
    <col min="15" max="15" width="9.140625" style="471" bestFit="1" customWidth="1"/>
    <col min="16" max="17" width="6.57421875" style="471" bestFit="1" customWidth="1"/>
    <col min="18" max="18" width="7.57421875" style="471" customWidth="1"/>
    <col min="19" max="19" width="9.140625" style="471" bestFit="1" customWidth="1"/>
    <col min="20" max="21" width="6.57421875" style="471" bestFit="1" customWidth="1"/>
    <col min="22" max="16384" width="7.57421875" style="471" customWidth="1"/>
  </cols>
  <sheetData>
    <row r="1" spans="19:21" ht="52.5" customHeight="1">
      <c r="S1" s="472" t="s">
        <v>495</v>
      </c>
      <c r="T1" s="472"/>
      <c r="U1" s="472"/>
    </row>
    <row r="2" spans="3:6" ht="16.5" customHeight="1">
      <c r="C2" s="473" t="s">
        <v>365</v>
      </c>
      <c r="D2" s="473"/>
      <c r="E2" s="473"/>
      <c r="F2" s="473"/>
    </row>
    <row r="3" spans="2:21" ht="16.5" customHeight="1">
      <c r="B3" s="474" t="s">
        <v>366</v>
      </c>
      <c r="C3" s="475" t="s">
        <v>367</v>
      </c>
      <c r="D3" s="476" t="s">
        <v>368</v>
      </c>
      <c r="E3" s="477" t="s">
        <v>369</v>
      </c>
      <c r="F3" s="478"/>
      <c r="G3" s="478"/>
      <c r="H3" s="478"/>
      <c r="I3" s="479"/>
      <c r="J3" s="480" t="s">
        <v>370</v>
      </c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2"/>
    </row>
    <row r="4" spans="2:21" ht="8.25" customHeight="1">
      <c r="B4" s="483"/>
      <c r="C4" s="484"/>
      <c r="D4" s="483"/>
      <c r="E4" s="474" t="s">
        <v>371</v>
      </c>
      <c r="F4" s="485"/>
      <c r="G4" s="475" t="s">
        <v>372</v>
      </c>
      <c r="H4" s="475" t="s">
        <v>373</v>
      </c>
      <c r="I4" s="475" t="s">
        <v>374</v>
      </c>
      <c r="J4" s="486">
        <v>2009</v>
      </c>
      <c r="K4" s="486"/>
      <c r="L4" s="486"/>
      <c r="M4" s="486"/>
      <c r="N4" s="486">
        <v>2010</v>
      </c>
      <c r="O4" s="486"/>
      <c r="P4" s="486"/>
      <c r="Q4" s="486"/>
      <c r="R4" s="486">
        <v>2011</v>
      </c>
      <c r="S4" s="486"/>
      <c r="T4" s="486"/>
      <c r="U4" s="486"/>
    </row>
    <row r="5" spans="2:21" ht="24.75">
      <c r="B5" s="487"/>
      <c r="C5" s="488"/>
      <c r="D5" s="487"/>
      <c r="E5" s="489"/>
      <c r="F5" s="490" t="s">
        <v>375</v>
      </c>
      <c r="G5" s="491"/>
      <c r="H5" s="491"/>
      <c r="I5" s="492"/>
      <c r="J5" s="493" t="s">
        <v>376</v>
      </c>
      <c r="K5" s="493" t="s">
        <v>377</v>
      </c>
      <c r="L5" s="494" t="s">
        <v>378</v>
      </c>
      <c r="M5" s="493" t="s">
        <v>379</v>
      </c>
      <c r="N5" s="493" t="s">
        <v>376</v>
      </c>
      <c r="O5" s="493" t="s">
        <v>377</v>
      </c>
      <c r="P5" s="494" t="s">
        <v>378</v>
      </c>
      <c r="Q5" s="493" t="s">
        <v>379</v>
      </c>
      <c r="R5" s="493" t="s">
        <v>376</v>
      </c>
      <c r="S5" s="493" t="s">
        <v>377</v>
      </c>
      <c r="T5" s="494" t="s">
        <v>378</v>
      </c>
      <c r="U5" s="493" t="s">
        <v>379</v>
      </c>
    </row>
    <row r="6" spans="2:21" ht="8.25">
      <c r="B6" s="495" t="s">
        <v>380</v>
      </c>
      <c r="C6" s="496" t="s">
        <v>381</v>
      </c>
      <c r="D6" s="497" t="s">
        <v>382</v>
      </c>
      <c r="E6" s="498">
        <v>4157000</v>
      </c>
      <c r="F6" s="499">
        <v>61000</v>
      </c>
      <c r="G6" s="500">
        <v>0</v>
      </c>
      <c r="H6" s="501">
        <v>4096000</v>
      </c>
      <c r="I6" s="501">
        <v>0</v>
      </c>
      <c r="J6" s="501">
        <v>0</v>
      </c>
      <c r="K6" s="502">
        <v>0</v>
      </c>
      <c r="L6" s="501">
        <v>0</v>
      </c>
      <c r="N6" s="501">
        <v>4096000</v>
      </c>
      <c r="O6" s="501">
        <v>0</v>
      </c>
      <c r="P6" s="501">
        <v>0</v>
      </c>
      <c r="Q6" s="501">
        <v>0</v>
      </c>
      <c r="R6" s="501">
        <v>0</v>
      </c>
      <c r="S6" s="501">
        <v>0</v>
      </c>
      <c r="T6" s="501">
        <v>0</v>
      </c>
      <c r="U6" s="501">
        <v>0</v>
      </c>
    </row>
    <row r="7" spans="2:21" ht="12.75" hidden="1">
      <c r="B7" s="503" t="s">
        <v>383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5"/>
    </row>
    <row r="8" spans="2:21" ht="17.25">
      <c r="B8" s="493" t="s">
        <v>384</v>
      </c>
      <c r="C8" s="493" t="s">
        <v>385</v>
      </c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</row>
    <row r="9" spans="2:21" ht="13.5" customHeight="1">
      <c r="B9" s="507" t="s">
        <v>386</v>
      </c>
      <c r="C9" s="508" t="s">
        <v>387</v>
      </c>
      <c r="D9" s="509" t="s">
        <v>388</v>
      </c>
      <c r="E9" s="510">
        <v>235000</v>
      </c>
      <c r="F9" s="511">
        <v>160000</v>
      </c>
      <c r="G9" s="512">
        <v>75000</v>
      </c>
      <c r="H9" s="512">
        <v>0</v>
      </c>
      <c r="I9" s="512">
        <v>0</v>
      </c>
      <c r="J9" s="512">
        <v>75000</v>
      </c>
      <c r="K9" s="512">
        <v>0</v>
      </c>
      <c r="L9" s="512">
        <v>0</v>
      </c>
      <c r="M9" s="512">
        <v>0</v>
      </c>
      <c r="N9" s="512">
        <v>0</v>
      </c>
      <c r="O9" s="512">
        <v>0</v>
      </c>
      <c r="P9" s="512">
        <v>0</v>
      </c>
      <c r="Q9" s="512">
        <v>0</v>
      </c>
      <c r="R9" s="512">
        <v>0</v>
      </c>
      <c r="S9" s="512">
        <v>0</v>
      </c>
      <c r="T9" s="512">
        <v>0</v>
      </c>
      <c r="U9" s="512">
        <v>0</v>
      </c>
    </row>
    <row r="10" spans="2:21" ht="16.5" customHeight="1">
      <c r="B10" s="494" t="s">
        <v>389</v>
      </c>
      <c r="C10" s="493" t="s">
        <v>390</v>
      </c>
      <c r="D10" s="513" t="s">
        <v>391</v>
      </c>
      <c r="E10" s="514">
        <v>350000</v>
      </c>
      <c r="F10" s="515">
        <v>115000</v>
      </c>
      <c r="G10" s="516">
        <v>20000</v>
      </c>
      <c r="H10" s="516">
        <v>30000</v>
      </c>
      <c r="I10" s="516">
        <v>50000</v>
      </c>
      <c r="J10" s="516">
        <v>20000</v>
      </c>
      <c r="K10" s="516">
        <v>0</v>
      </c>
      <c r="L10" s="516">
        <v>0</v>
      </c>
      <c r="M10" s="516">
        <v>0</v>
      </c>
      <c r="N10" s="516">
        <v>30000</v>
      </c>
      <c r="O10" s="516">
        <v>0</v>
      </c>
      <c r="P10" s="516">
        <v>0</v>
      </c>
      <c r="Q10" s="516">
        <v>0</v>
      </c>
      <c r="R10" s="516">
        <v>50000</v>
      </c>
      <c r="S10" s="516">
        <v>0</v>
      </c>
      <c r="T10" s="516">
        <v>0</v>
      </c>
      <c r="U10" s="516">
        <v>0</v>
      </c>
    </row>
    <row r="11" spans="2:21" ht="16.5">
      <c r="B11" s="494" t="s">
        <v>392</v>
      </c>
      <c r="C11" s="493" t="s">
        <v>393</v>
      </c>
      <c r="D11" s="513" t="s">
        <v>394</v>
      </c>
      <c r="E11" s="516">
        <v>130842.2</v>
      </c>
      <c r="F11" s="515">
        <v>32549.2</v>
      </c>
      <c r="G11" s="516">
        <v>19293</v>
      </c>
      <c r="H11" s="516">
        <v>79000</v>
      </c>
      <c r="I11" s="516">
        <v>0</v>
      </c>
      <c r="J11" s="516">
        <v>19293</v>
      </c>
      <c r="K11" s="516">
        <v>0</v>
      </c>
      <c r="L11" s="516">
        <v>0</v>
      </c>
      <c r="M11" s="516">
        <v>0</v>
      </c>
      <c r="N11" s="516">
        <v>79000</v>
      </c>
      <c r="O11" s="516">
        <v>0</v>
      </c>
      <c r="P11" s="516">
        <v>0</v>
      </c>
      <c r="Q11" s="516">
        <v>0</v>
      </c>
      <c r="R11" s="516">
        <v>0</v>
      </c>
      <c r="S11" s="516">
        <v>0</v>
      </c>
      <c r="T11" s="516">
        <v>0</v>
      </c>
      <c r="U11" s="516">
        <v>0</v>
      </c>
    </row>
    <row r="12" spans="2:21" ht="16.5">
      <c r="B12" s="495" t="s">
        <v>395</v>
      </c>
      <c r="C12" s="496" t="s">
        <v>396</v>
      </c>
      <c r="D12" s="497" t="s">
        <v>397</v>
      </c>
      <c r="E12" s="498">
        <v>660000</v>
      </c>
      <c r="F12" s="499">
        <v>195293.92</v>
      </c>
      <c r="G12" s="501">
        <v>0</v>
      </c>
      <c r="H12" s="501">
        <v>236706.08</v>
      </c>
      <c r="I12" s="501">
        <v>228000</v>
      </c>
      <c r="J12" s="501">
        <v>0</v>
      </c>
      <c r="K12" s="501">
        <v>0</v>
      </c>
      <c r="L12" s="501">
        <v>0</v>
      </c>
      <c r="M12" s="501">
        <v>0</v>
      </c>
      <c r="N12" s="501">
        <v>236706.08</v>
      </c>
      <c r="O12" s="501">
        <v>0</v>
      </c>
      <c r="P12" s="501">
        <v>0</v>
      </c>
      <c r="Q12" s="501">
        <v>0</v>
      </c>
      <c r="R12" s="501">
        <v>228000</v>
      </c>
      <c r="S12" s="501">
        <v>0</v>
      </c>
      <c r="T12" s="501">
        <v>0</v>
      </c>
      <c r="U12" s="501">
        <v>0</v>
      </c>
    </row>
    <row r="13" spans="2:21" ht="12.75" hidden="1">
      <c r="B13" s="517" t="s">
        <v>398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9"/>
    </row>
    <row r="14" spans="2:21" ht="17.25" customHeight="1">
      <c r="B14" s="494" t="s">
        <v>399</v>
      </c>
      <c r="C14" s="493" t="s">
        <v>400</v>
      </c>
      <c r="D14" s="513" t="s">
        <v>388</v>
      </c>
      <c r="E14" s="514">
        <v>90000</v>
      </c>
      <c r="F14" s="515">
        <v>50000</v>
      </c>
      <c r="G14" s="516">
        <v>40000</v>
      </c>
      <c r="H14" s="516">
        <v>0</v>
      </c>
      <c r="I14" s="516">
        <v>0</v>
      </c>
      <c r="J14" s="516">
        <v>40000</v>
      </c>
      <c r="K14" s="516">
        <v>0</v>
      </c>
      <c r="L14" s="516">
        <v>0</v>
      </c>
      <c r="M14" s="516">
        <v>0</v>
      </c>
      <c r="N14" s="516">
        <v>0</v>
      </c>
      <c r="O14" s="516">
        <v>0</v>
      </c>
      <c r="P14" s="516">
        <v>0</v>
      </c>
      <c r="Q14" s="516">
        <v>0</v>
      </c>
      <c r="R14" s="516">
        <v>0</v>
      </c>
      <c r="S14" s="516">
        <v>0</v>
      </c>
      <c r="T14" s="516">
        <v>0</v>
      </c>
      <c r="U14" s="516">
        <v>0</v>
      </c>
    </row>
    <row r="15" spans="2:21" ht="8.25">
      <c r="B15" s="494" t="s">
        <v>401</v>
      </c>
      <c r="C15" s="493" t="s">
        <v>402</v>
      </c>
      <c r="D15" s="513" t="s">
        <v>382</v>
      </c>
      <c r="E15" s="516">
        <v>80000</v>
      </c>
      <c r="F15" s="515">
        <v>24000</v>
      </c>
      <c r="G15" s="516">
        <v>10000</v>
      </c>
      <c r="H15" s="516">
        <v>46000</v>
      </c>
      <c r="I15" s="516">
        <v>0</v>
      </c>
      <c r="J15" s="516">
        <v>10000</v>
      </c>
      <c r="K15" s="516">
        <v>0</v>
      </c>
      <c r="L15" s="516">
        <v>0</v>
      </c>
      <c r="M15" s="516">
        <v>0</v>
      </c>
      <c r="N15" s="516">
        <v>46000</v>
      </c>
      <c r="O15" s="516">
        <v>0</v>
      </c>
      <c r="P15" s="516">
        <v>0</v>
      </c>
      <c r="Q15" s="516">
        <v>0</v>
      </c>
      <c r="R15" s="516">
        <v>0</v>
      </c>
      <c r="S15" s="516">
        <v>0</v>
      </c>
      <c r="T15" s="516">
        <v>0</v>
      </c>
      <c r="U15" s="516">
        <v>0</v>
      </c>
    </row>
    <row r="16" spans="2:21" ht="8.25">
      <c r="B16" s="494" t="s">
        <v>403</v>
      </c>
      <c r="C16" s="493" t="s">
        <v>404</v>
      </c>
      <c r="D16" s="513" t="s">
        <v>382</v>
      </c>
      <c r="E16" s="514">
        <v>140000</v>
      </c>
      <c r="F16" s="515">
        <v>9600</v>
      </c>
      <c r="G16" s="516">
        <v>30400</v>
      </c>
      <c r="H16" s="516">
        <v>100000</v>
      </c>
      <c r="I16" s="516">
        <v>0</v>
      </c>
      <c r="J16" s="516">
        <v>30400</v>
      </c>
      <c r="K16" s="516">
        <v>0</v>
      </c>
      <c r="L16" s="516">
        <v>0</v>
      </c>
      <c r="M16" s="516">
        <v>0</v>
      </c>
      <c r="N16" s="516">
        <v>100000</v>
      </c>
      <c r="O16" s="516">
        <v>0</v>
      </c>
      <c r="P16" s="516">
        <v>0</v>
      </c>
      <c r="Q16" s="516">
        <v>0</v>
      </c>
      <c r="R16" s="516">
        <v>0</v>
      </c>
      <c r="S16" s="516">
        <v>0</v>
      </c>
      <c r="T16" s="516">
        <v>0</v>
      </c>
      <c r="U16" s="516">
        <v>0</v>
      </c>
    </row>
    <row r="17" spans="2:21" ht="16.5">
      <c r="B17" s="494" t="s">
        <v>405</v>
      </c>
      <c r="C17" s="493" t="s">
        <v>215</v>
      </c>
      <c r="D17" s="513" t="s">
        <v>406</v>
      </c>
      <c r="E17" s="514">
        <v>110000</v>
      </c>
      <c r="F17" s="515">
        <v>20000</v>
      </c>
      <c r="G17" s="516">
        <v>90000</v>
      </c>
      <c r="H17" s="516">
        <v>0</v>
      </c>
      <c r="I17" s="516">
        <v>0</v>
      </c>
      <c r="J17" s="516">
        <v>90000</v>
      </c>
      <c r="K17" s="516">
        <v>0</v>
      </c>
      <c r="L17" s="516">
        <v>0</v>
      </c>
      <c r="M17" s="516">
        <v>0</v>
      </c>
      <c r="N17" s="516">
        <v>0</v>
      </c>
      <c r="O17" s="516">
        <v>0</v>
      </c>
      <c r="P17" s="516">
        <v>0</v>
      </c>
      <c r="Q17" s="516">
        <v>0</v>
      </c>
      <c r="R17" s="516">
        <v>0</v>
      </c>
      <c r="S17" s="516">
        <v>0</v>
      </c>
      <c r="T17" s="516">
        <v>0</v>
      </c>
      <c r="U17" s="516">
        <v>0</v>
      </c>
    </row>
    <row r="18" spans="2:21" ht="12.75" hidden="1">
      <c r="B18" s="520" t="s">
        <v>407</v>
      </c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</row>
    <row r="19" spans="2:21" ht="25.5" customHeight="1">
      <c r="B19" s="494" t="s">
        <v>408</v>
      </c>
      <c r="C19" s="493" t="s">
        <v>409</v>
      </c>
      <c r="D19" s="513" t="s">
        <v>397</v>
      </c>
      <c r="E19" s="514">
        <v>16390400</v>
      </c>
      <c r="F19" s="515">
        <v>400909.94</v>
      </c>
      <c r="G19" s="516">
        <v>145000</v>
      </c>
      <c r="H19" s="516">
        <v>10317249.58</v>
      </c>
      <c r="I19" s="516">
        <v>5527240.48</v>
      </c>
      <c r="J19" s="516">
        <v>145000</v>
      </c>
      <c r="K19" s="516">
        <v>0</v>
      </c>
      <c r="L19" s="516">
        <v>0</v>
      </c>
      <c r="M19" s="516">
        <v>0</v>
      </c>
      <c r="N19" s="516">
        <v>2951100</v>
      </c>
      <c r="O19" s="516">
        <f>H19-N19</f>
        <v>7366149.58</v>
      </c>
      <c r="P19" s="516">
        <v>0</v>
      </c>
      <c r="Q19" s="516">
        <v>0</v>
      </c>
      <c r="R19" s="516">
        <f>I19-S19</f>
        <v>3412240.4800000004</v>
      </c>
      <c r="S19" s="516">
        <v>2115000</v>
      </c>
      <c r="T19" s="516">
        <v>0</v>
      </c>
      <c r="U19" s="516">
        <v>0</v>
      </c>
    </row>
    <row r="20" spans="2:21" ht="21" customHeight="1" hidden="1">
      <c r="B20" s="522" t="s">
        <v>410</v>
      </c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</row>
    <row r="21" spans="2:21" ht="14.25" customHeight="1">
      <c r="B21" s="517" t="s">
        <v>411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5"/>
    </row>
    <row r="22" spans="2:21" ht="16.5">
      <c r="B22" s="507" t="s">
        <v>412</v>
      </c>
      <c r="C22" s="508" t="s">
        <v>413</v>
      </c>
      <c r="D22" s="509" t="s">
        <v>414</v>
      </c>
      <c r="E22" s="510">
        <v>3700000</v>
      </c>
      <c r="F22" s="511">
        <v>0</v>
      </c>
      <c r="G22" s="512">
        <v>0</v>
      </c>
      <c r="H22" s="512">
        <v>0</v>
      </c>
      <c r="I22" s="512">
        <v>130000</v>
      </c>
      <c r="J22" s="512">
        <v>0</v>
      </c>
      <c r="K22" s="512">
        <v>0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0</v>
      </c>
      <c r="R22" s="512">
        <v>130000</v>
      </c>
      <c r="S22" s="512">
        <v>0</v>
      </c>
      <c r="T22" s="512">
        <v>0</v>
      </c>
      <c r="U22" s="512">
        <v>0</v>
      </c>
    </row>
    <row r="23" spans="2:21" ht="11.25" customHeight="1">
      <c r="B23" s="494" t="s">
        <v>415</v>
      </c>
      <c r="C23" s="493" t="s">
        <v>416</v>
      </c>
      <c r="D23" s="513" t="s">
        <v>417</v>
      </c>
      <c r="E23" s="526">
        <v>1800000</v>
      </c>
      <c r="F23" s="527">
        <v>40000</v>
      </c>
      <c r="G23" s="516">
        <v>74000</v>
      </c>
      <c r="H23" s="516">
        <v>1686000</v>
      </c>
      <c r="I23" s="516"/>
      <c r="J23" s="516">
        <v>74000</v>
      </c>
      <c r="K23" s="516"/>
      <c r="L23" s="516">
        <v>0</v>
      </c>
      <c r="M23" s="516">
        <v>0</v>
      </c>
      <c r="N23" s="516">
        <f>H23-O23</f>
        <v>1186000</v>
      </c>
      <c r="O23" s="516">
        <v>500000</v>
      </c>
      <c r="P23" s="516">
        <v>0</v>
      </c>
      <c r="Q23" s="516">
        <v>0</v>
      </c>
      <c r="R23" s="516">
        <v>0</v>
      </c>
      <c r="S23" s="516">
        <v>0</v>
      </c>
      <c r="T23" s="516">
        <v>0</v>
      </c>
      <c r="U23" s="516">
        <v>0</v>
      </c>
    </row>
    <row r="24" spans="2:21" ht="12.75" hidden="1">
      <c r="B24" s="520" t="s">
        <v>418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</row>
    <row r="25" spans="2:21" ht="18.75" customHeight="1">
      <c r="B25" s="494" t="s">
        <v>419</v>
      </c>
      <c r="C25" s="493" t="s">
        <v>420</v>
      </c>
      <c r="D25" s="513">
        <v>2010</v>
      </c>
      <c r="E25" s="514">
        <v>1200000</v>
      </c>
      <c r="F25" s="515">
        <v>0</v>
      </c>
      <c r="G25" s="516">
        <v>0</v>
      </c>
      <c r="H25" s="516">
        <v>1200000</v>
      </c>
      <c r="I25" s="516">
        <v>0</v>
      </c>
      <c r="J25" s="516">
        <v>0</v>
      </c>
      <c r="K25" s="516">
        <v>0</v>
      </c>
      <c r="L25" s="516">
        <v>0</v>
      </c>
      <c r="M25" s="516">
        <v>0</v>
      </c>
      <c r="N25" s="516">
        <v>700000</v>
      </c>
      <c r="O25" s="516">
        <v>500000</v>
      </c>
      <c r="P25" s="516">
        <v>0</v>
      </c>
      <c r="Q25" s="516">
        <v>0</v>
      </c>
      <c r="R25" s="516">
        <v>0</v>
      </c>
      <c r="S25" s="516">
        <v>0</v>
      </c>
      <c r="T25" s="516">
        <v>0</v>
      </c>
      <c r="U25" s="516">
        <v>0</v>
      </c>
    </row>
    <row r="26" spans="2:21" ht="16.5">
      <c r="B26" s="494" t="s">
        <v>421</v>
      </c>
      <c r="C26" s="493" t="s">
        <v>422</v>
      </c>
      <c r="D26" s="513">
        <v>2011</v>
      </c>
      <c r="E26" s="514">
        <v>1200000</v>
      </c>
      <c r="F26" s="515">
        <v>0</v>
      </c>
      <c r="G26" s="516">
        <v>0</v>
      </c>
      <c r="H26" s="516">
        <v>0</v>
      </c>
      <c r="I26" s="516">
        <v>1200000</v>
      </c>
      <c r="J26" s="516">
        <v>0</v>
      </c>
      <c r="K26" s="516">
        <v>0</v>
      </c>
      <c r="L26" s="516">
        <v>0</v>
      </c>
      <c r="M26" s="516">
        <v>0</v>
      </c>
      <c r="N26" s="516">
        <v>0</v>
      </c>
      <c r="O26" s="516">
        <v>0</v>
      </c>
      <c r="P26" s="516">
        <v>0</v>
      </c>
      <c r="Q26" s="516">
        <v>0</v>
      </c>
      <c r="R26" s="516">
        <v>700000</v>
      </c>
      <c r="S26" s="516">
        <v>500000</v>
      </c>
      <c r="T26" s="516">
        <v>0</v>
      </c>
      <c r="U26" s="516">
        <v>0</v>
      </c>
    </row>
    <row r="27" spans="2:21" ht="15.75" customHeight="1">
      <c r="B27" s="494" t="s">
        <v>423</v>
      </c>
      <c r="C27" s="493" t="s">
        <v>424</v>
      </c>
      <c r="D27" s="528">
        <v>2010</v>
      </c>
      <c r="E27" s="529">
        <v>280000</v>
      </c>
      <c r="F27" s="530">
        <v>0</v>
      </c>
      <c r="G27" s="516">
        <v>0</v>
      </c>
      <c r="H27" s="516">
        <v>280000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516">
        <v>230000</v>
      </c>
      <c r="O27" s="516">
        <v>0</v>
      </c>
      <c r="P27" s="516">
        <v>0</v>
      </c>
      <c r="Q27" s="516">
        <v>50000</v>
      </c>
      <c r="R27" s="516">
        <v>0</v>
      </c>
      <c r="S27" s="516">
        <v>0</v>
      </c>
      <c r="T27" s="516">
        <v>0</v>
      </c>
      <c r="U27" s="516">
        <v>0</v>
      </c>
    </row>
    <row r="28" spans="2:21" ht="15.75" customHeight="1" hidden="1">
      <c r="B28" s="520" t="s">
        <v>425</v>
      </c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</row>
    <row r="29" spans="2:21" ht="16.5">
      <c r="B29" s="494" t="s">
        <v>426</v>
      </c>
      <c r="C29" s="493" t="s">
        <v>427</v>
      </c>
      <c r="D29" s="513">
        <v>2011</v>
      </c>
      <c r="E29" s="514">
        <v>340000</v>
      </c>
      <c r="F29" s="515">
        <v>0</v>
      </c>
      <c r="G29" s="516">
        <v>0</v>
      </c>
      <c r="H29" s="516">
        <v>0</v>
      </c>
      <c r="I29" s="516">
        <v>340000</v>
      </c>
      <c r="J29" s="516">
        <v>0</v>
      </c>
      <c r="K29" s="516">
        <v>0</v>
      </c>
      <c r="L29" s="516">
        <v>0</v>
      </c>
      <c r="M29" s="516">
        <v>0</v>
      </c>
      <c r="N29" s="516">
        <v>0</v>
      </c>
      <c r="O29" s="516">
        <v>0</v>
      </c>
      <c r="P29" s="516">
        <v>0</v>
      </c>
      <c r="Q29" s="516">
        <v>0</v>
      </c>
      <c r="R29" s="516">
        <v>280000</v>
      </c>
      <c r="S29" s="516">
        <v>0</v>
      </c>
      <c r="T29" s="516">
        <v>0</v>
      </c>
      <c r="U29" s="516">
        <v>60000</v>
      </c>
    </row>
    <row r="30" spans="2:21" ht="15.75" customHeight="1" hidden="1">
      <c r="B30" s="520" t="s">
        <v>428</v>
      </c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</row>
    <row r="31" spans="2:21" ht="8.25">
      <c r="B31" s="494" t="s">
        <v>429</v>
      </c>
      <c r="C31" s="493" t="s">
        <v>430</v>
      </c>
      <c r="D31" s="513" t="s">
        <v>431</v>
      </c>
      <c r="E31" s="514">
        <v>510000</v>
      </c>
      <c r="F31" s="515">
        <v>257762.2</v>
      </c>
      <c r="G31" s="516">
        <v>0</v>
      </c>
      <c r="H31" s="516">
        <v>252237.8</v>
      </c>
      <c r="I31" s="516">
        <v>0</v>
      </c>
      <c r="J31" s="516">
        <v>0</v>
      </c>
      <c r="K31" s="516">
        <v>0</v>
      </c>
      <c r="L31" s="516">
        <v>0</v>
      </c>
      <c r="M31" s="516">
        <v>0</v>
      </c>
      <c r="N31" s="516">
        <v>252237.8</v>
      </c>
      <c r="O31" s="516">
        <v>0</v>
      </c>
      <c r="P31" s="516">
        <v>0</v>
      </c>
      <c r="Q31" s="516">
        <v>0</v>
      </c>
      <c r="R31" s="516">
        <v>0</v>
      </c>
      <c r="S31" s="516">
        <v>0</v>
      </c>
      <c r="T31" s="516">
        <v>0</v>
      </c>
      <c r="U31" s="516">
        <v>0</v>
      </c>
    </row>
    <row r="32" spans="2:21" ht="15.75" customHeight="1" hidden="1">
      <c r="B32" s="520" t="s">
        <v>432</v>
      </c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</row>
    <row r="33" spans="2:21" ht="16.5">
      <c r="B33" s="494" t="s">
        <v>433</v>
      </c>
      <c r="C33" s="493" t="s">
        <v>434</v>
      </c>
      <c r="D33" s="513">
        <v>2011</v>
      </c>
      <c r="E33" s="514">
        <v>460000</v>
      </c>
      <c r="F33" s="515">
        <v>0</v>
      </c>
      <c r="G33" s="516">
        <v>0</v>
      </c>
      <c r="H33" s="516">
        <v>0</v>
      </c>
      <c r="I33" s="516">
        <v>460000</v>
      </c>
      <c r="J33" s="516">
        <v>0</v>
      </c>
      <c r="K33" s="516">
        <v>0</v>
      </c>
      <c r="L33" s="516">
        <v>0</v>
      </c>
      <c r="M33" s="516">
        <v>0</v>
      </c>
      <c r="N33" s="516">
        <v>0</v>
      </c>
      <c r="O33" s="516">
        <v>0</v>
      </c>
      <c r="P33" s="516">
        <v>0</v>
      </c>
      <c r="Q33" s="516">
        <v>0</v>
      </c>
      <c r="R33" s="516">
        <v>310000</v>
      </c>
      <c r="S33" s="516">
        <v>0</v>
      </c>
      <c r="T33" s="516">
        <v>0</v>
      </c>
      <c r="U33" s="516">
        <v>150000</v>
      </c>
    </row>
    <row r="34" spans="2:21" ht="8.25">
      <c r="B34" s="494" t="s">
        <v>435</v>
      </c>
      <c r="C34" s="493" t="s">
        <v>436</v>
      </c>
      <c r="D34" s="513" t="s">
        <v>437</v>
      </c>
      <c r="E34" s="514">
        <v>720000</v>
      </c>
      <c r="F34" s="515">
        <v>0</v>
      </c>
      <c r="G34" s="516">
        <v>0</v>
      </c>
      <c r="H34" s="516">
        <v>320000</v>
      </c>
      <c r="I34" s="516">
        <v>400000</v>
      </c>
      <c r="J34" s="516">
        <v>0</v>
      </c>
      <c r="K34" s="516">
        <v>0</v>
      </c>
      <c r="L34" s="516">
        <v>0</v>
      </c>
      <c r="M34" s="531">
        <v>0</v>
      </c>
      <c r="N34" s="516">
        <v>64000</v>
      </c>
      <c r="O34" s="516">
        <v>0</v>
      </c>
      <c r="P34" s="516">
        <v>256000</v>
      </c>
      <c r="Q34" s="516">
        <v>0</v>
      </c>
      <c r="R34" s="516">
        <v>80000</v>
      </c>
      <c r="S34" s="516">
        <v>0</v>
      </c>
      <c r="T34" s="516">
        <v>320000</v>
      </c>
      <c r="U34" s="516">
        <v>0</v>
      </c>
    </row>
    <row r="35" spans="2:21" ht="15.75" customHeight="1" hidden="1">
      <c r="B35" s="520" t="s">
        <v>438</v>
      </c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</row>
    <row r="36" spans="2:21" ht="8.25">
      <c r="B36" s="494" t="s">
        <v>439</v>
      </c>
      <c r="C36" s="493" t="s">
        <v>440</v>
      </c>
      <c r="D36" s="513">
        <v>2011</v>
      </c>
      <c r="E36" s="514">
        <v>250000</v>
      </c>
      <c r="F36" s="515">
        <v>0</v>
      </c>
      <c r="G36" s="516">
        <v>0</v>
      </c>
      <c r="H36" s="516">
        <v>0</v>
      </c>
      <c r="I36" s="516">
        <v>250000</v>
      </c>
      <c r="J36" s="516">
        <v>0</v>
      </c>
      <c r="K36" s="516">
        <v>0</v>
      </c>
      <c r="L36" s="516">
        <v>0</v>
      </c>
      <c r="M36" s="516">
        <v>0</v>
      </c>
      <c r="N36" s="516">
        <v>0</v>
      </c>
      <c r="O36" s="516">
        <v>0</v>
      </c>
      <c r="P36" s="516">
        <v>0</v>
      </c>
      <c r="Q36" s="516">
        <v>0</v>
      </c>
      <c r="R36" s="516">
        <v>50000</v>
      </c>
      <c r="S36" s="516">
        <v>0</v>
      </c>
      <c r="T36" s="516">
        <v>200000</v>
      </c>
      <c r="U36" s="516">
        <v>0</v>
      </c>
    </row>
    <row r="37" spans="2:21" ht="8.25">
      <c r="B37" s="494" t="s">
        <v>441</v>
      </c>
      <c r="C37" s="493" t="s">
        <v>442</v>
      </c>
      <c r="D37" s="513" t="s">
        <v>431</v>
      </c>
      <c r="E37" s="514">
        <v>130000</v>
      </c>
      <c r="F37" s="515">
        <v>7500</v>
      </c>
      <c r="G37" s="516">
        <v>30000</v>
      </c>
      <c r="H37" s="516">
        <v>92500</v>
      </c>
      <c r="I37" s="516">
        <v>0</v>
      </c>
      <c r="J37" s="516">
        <v>30000</v>
      </c>
      <c r="K37" s="516">
        <v>0</v>
      </c>
      <c r="L37" s="516">
        <v>0</v>
      </c>
      <c r="M37" s="516">
        <v>0</v>
      </c>
      <c r="N37" s="516">
        <v>52500</v>
      </c>
      <c r="O37" s="516">
        <v>0</v>
      </c>
      <c r="P37" s="516">
        <v>0</v>
      </c>
      <c r="Q37" s="516">
        <v>40000</v>
      </c>
      <c r="R37" s="516">
        <v>0</v>
      </c>
      <c r="S37" s="516">
        <v>0</v>
      </c>
      <c r="T37" s="516">
        <v>0</v>
      </c>
      <c r="U37" s="516">
        <v>0</v>
      </c>
    </row>
    <row r="38" spans="2:21" ht="15.75" customHeight="1" hidden="1">
      <c r="B38" s="520" t="s">
        <v>443</v>
      </c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</row>
    <row r="39" spans="2:21" ht="16.5">
      <c r="B39" s="494" t="s">
        <v>444</v>
      </c>
      <c r="C39" s="493" t="s">
        <v>445</v>
      </c>
      <c r="D39" s="513" t="s">
        <v>446</v>
      </c>
      <c r="E39" s="514">
        <v>350000</v>
      </c>
      <c r="F39" s="515">
        <v>0</v>
      </c>
      <c r="G39" s="516">
        <v>25000</v>
      </c>
      <c r="H39" s="516">
        <v>325000</v>
      </c>
      <c r="I39" s="516">
        <v>0</v>
      </c>
      <c r="J39" s="516">
        <v>25000</v>
      </c>
      <c r="K39" s="516">
        <v>0</v>
      </c>
      <c r="L39" s="516">
        <v>0</v>
      </c>
      <c r="M39" s="516">
        <v>0</v>
      </c>
      <c r="N39" s="516">
        <v>225000</v>
      </c>
      <c r="O39" s="516">
        <v>0</v>
      </c>
      <c r="P39" s="516">
        <v>0</v>
      </c>
      <c r="Q39" s="516">
        <v>100000</v>
      </c>
      <c r="R39" s="516">
        <v>0</v>
      </c>
      <c r="S39" s="516">
        <v>0</v>
      </c>
      <c r="T39" s="516">
        <v>0</v>
      </c>
      <c r="U39" s="516">
        <v>0</v>
      </c>
    </row>
    <row r="40" spans="2:21" ht="16.5" hidden="1">
      <c r="B40" s="494"/>
      <c r="C40" s="493" t="s">
        <v>447</v>
      </c>
      <c r="D40" s="513" t="s">
        <v>437</v>
      </c>
      <c r="E40" s="514"/>
      <c r="F40" s="514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</row>
    <row r="41" spans="2:21" ht="12.75" hidden="1">
      <c r="B41" s="520" t="s">
        <v>448</v>
      </c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</row>
    <row r="42" spans="2:21" ht="33" customHeight="1">
      <c r="B42" s="494" t="s">
        <v>449</v>
      </c>
      <c r="C42" s="493" t="s">
        <v>450</v>
      </c>
      <c r="D42" s="513" t="s">
        <v>397</v>
      </c>
      <c r="E42" s="526">
        <v>500000</v>
      </c>
      <c r="F42" s="527">
        <v>59274</v>
      </c>
      <c r="G42" s="516">
        <v>20000</v>
      </c>
      <c r="H42" s="516">
        <v>180000</v>
      </c>
      <c r="I42" s="516">
        <v>240726</v>
      </c>
      <c r="J42" s="516">
        <v>20000</v>
      </c>
      <c r="K42" s="516">
        <v>0</v>
      </c>
      <c r="L42" s="516">
        <v>0</v>
      </c>
      <c r="M42" s="516">
        <v>0</v>
      </c>
      <c r="N42" s="516">
        <v>180000</v>
      </c>
      <c r="O42" s="516">
        <v>0</v>
      </c>
      <c r="P42" s="516">
        <v>0</v>
      </c>
      <c r="Q42" s="516">
        <v>0</v>
      </c>
      <c r="R42" s="516">
        <v>240726</v>
      </c>
      <c r="S42" s="516">
        <v>0</v>
      </c>
      <c r="T42" s="516">
        <v>0</v>
      </c>
      <c r="U42" s="516">
        <v>0</v>
      </c>
    </row>
    <row r="43" spans="2:21" ht="15.75" customHeight="1" hidden="1">
      <c r="B43" s="520" t="s">
        <v>451</v>
      </c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</row>
    <row r="44" spans="2:21" ht="16.5">
      <c r="B44" s="494" t="s">
        <v>452</v>
      </c>
      <c r="C44" s="493" t="s">
        <v>453</v>
      </c>
      <c r="D44" s="513" t="s">
        <v>454</v>
      </c>
      <c r="E44" s="514">
        <v>450000</v>
      </c>
      <c r="F44" s="515">
        <v>0</v>
      </c>
      <c r="G44" s="516">
        <v>50000</v>
      </c>
      <c r="H44" s="516">
        <v>200000</v>
      </c>
      <c r="I44" s="516">
        <v>200000</v>
      </c>
      <c r="J44" s="516">
        <v>50000</v>
      </c>
      <c r="K44" s="516">
        <v>0</v>
      </c>
      <c r="L44" s="516">
        <v>0</v>
      </c>
      <c r="M44" s="516">
        <v>0</v>
      </c>
      <c r="N44" s="516">
        <v>100000</v>
      </c>
      <c r="O44" s="516">
        <v>0</v>
      </c>
      <c r="P44" s="516">
        <v>0</v>
      </c>
      <c r="Q44" s="516">
        <v>100000</v>
      </c>
      <c r="R44" s="516">
        <v>200000</v>
      </c>
      <c r="S44" s="516">
        <v>0</v>
      </c>
      <c r="T44" s="516">
        <v>0</v>
      </c>
      <c r="U44" s="516">
        <v>0</v>
      </c>
    </row>
    <row r="45" spans="2:21" ht="18.75" customHeight="1">
      <c r="B45" s="494" t="s">
        <v>455</v>
      </c>
      <c r="C45" s="493" t="s">
        <v>244</v>
      </c>
      <c r="D45" s="513" t="s">
        <v>406</v>
      </c>
      <c r="E45" s="514">
        <v>1524815.87</v>
      </c>
      <c r="F45" s="515">
        <v>41815.87</v>
      </c>
      <c r="G45" s="516">
        <v>1483000</v>
      </c>
      <c r="H45" s="516">
        <v>0</v>
      </c>
      <c r="I45" s="516">
        <v>0</v>
      </c>
      <c r="J45" s="516">
        <v>1150000</v>
      </c>
      <c r="K45" s="516">
        <v>0</v>
      </c>
      <c r="L45" s="516">
        <v>0</v>
      </c>
      <c r="M45" s="516">
        <v>333000</v>
      </c>
      <c r="N45" s="516">
        <v>0</v>
      </c>
      <c r="O45" s="516">
        <v>0</v>
      </c>
      <c r="P45" s="516">
        <v>0</v>
      </c>
      <c r="Q45" s="516">
        <v>0</v>
      </c>
      <c r="R45" s="516">
        <v>0</v>
      </c>
      <c r="S45" s="516">
        <v>0</v>
      </c>
      <c r="T45" s="516">
        <v>0</v>
      </c>
      <c r="U45" s="516">
        <v>0</v>
      </c>
    </row>
    <row r="46" spans="2:21" ht="15.75" customHeight="1" hidden="1">
      <c r="B46" s="520" t="s">
        <v>456</v>
      </c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</row>
    <row r="47" spans="2:21" ht="8.25">
      <c r="B47" s="494" t="s">
        <v>457</v>
      </c>
      <c r="C47" s="493" t="s">
        <v>458</v>
      </c>
      <c r="D47" s="513" t="s">
        <v>459</v>
      </c>
      <c r="E47" s="514">
        <v>55000</v>
      </c>
      <c r="F47" s="515">
        <v>0</v>
      </c>
      <c r="G47" s="516">
        <v>0</v>
      </c>
      <c r="H47" s="516">
        <v>0</v>
      </c>
      <c r="I47" s="516">
        <v>50000</v>
      </c>
      <c r="J47" s="516">
        <v>0</v>
      </c>
      <c r="K47" s="516">
        <v>0</v>
      </c>
      <c r="L47" s="516">
        <v>0</v>
      </c>
      <c r="M47" s="516">
        <v>0</v>
      </c>
      <c r="N47" s="516">
        <v>0</v>
      </c>
      <c r="O47" s="516">
        <v>0</v>
      </c>
      <c r="P47" s="516">
        <v>0</v>
      </c>
      <c r="Q47" s="516">
        <v>0</v>
      </c>
      <c r="R47" s="516">
        <v>50000</v>
      </c>
      <c r="S47" s="516">
        <v>0</v>
      </c>
      <c r="T47" s="516">
        <v>0</v>
      </c>
      <c r="U47" s="516">
        <v>0</v>
      </c>
    </row>
    <row r="48" spans="2:21" ht="8.25">
      <c r="B48" s="494" t="s">
        <v>460</v>
      </c>
      <c r="C48" s="493" t="s">
        <v>217</v>
      </c>
      <c r="D48" s="513" t="s">
        <v>461</v>
      </c>
      <c r="E48" s="514">
        <v>600000</v>
      </c>
      <c r="F48" s="515">
        <v>30000</v>
      </c>
      <c r="G48" s="516">
        <v>40000</v>
      </c>
      <c r="H48" s="516">
        <v>530000</v>
      </c>
      <c r="I48" s="516">
        <v>0</v>
      </c>
      <c r="J48" s="516">
        <v>40000</v>
      </c>
      <c r="K48" s="516">
        <v>0</v>
      </c>
      <c r="L48" s="516">
        <v>0</v>
      </c>
      <c r="M48" s="516">
        <v>0</v>
      </c>
      <c r="N48" s="516">
        <v>530000</v>
      </c>
      <c r="O48" s="516">
        <v>0</v>
      </c>
      <c r="P48" s="516">
        <v>0</v>
      </c>
      <c r="Q48" s="516">
        <v>0</v>
      </c>
      <c r="R48" s="516">
        <v>0</v>
      </c>
      <c r="S48" s="516">
        <v>0</v>
      </c>
      <c r="T48" s="516">
        <v>0</v>
      </c>
      <c r="U48" s="516">
        <v>0</v>
      </c>
    </row>
    <row r="49" spans="2:21" ht="16.5">
      <c r="B49" s="494" t="s">
        <v>462</v>
      </c>
      <c r="C49" s="493" t="s">
        <v>218</v>
      </c>
      <c r="D49" s="513" t="s">
        <v>431</v>
      </c>
      <c r="E49" s="514">
        <v>500000</v>
      </c>
      <c r="F49" s="515">
        <v>49500</v>
      </c>
      <c r="G49" s="516">
        <v>100000</v>
      </c>
      <c r="H49" s="516">
        <v>350500</v>
      </c>
      <c r="I49" s="516">
        <v>0</v>
      </c>
      <c r="J49" s="516">
        <v>100000</v>
      </c>
      <c r="K49" s="516">
        <v>0</v>
      </c>
      <c r="L49" s="516">
        <v>0</v>
      </c>
      <c r="M49" s="516">
        <v>0</v>
      </c>
      <c r="N49" s="516">
        <v>350500</v>
      </c>
      <c r="O49" s="516">
        <v>0</v>
      </c>
      <c r="P49" s="516">
        <v>0</v>
      </c>
      <c r="Q49" s="516">
        <v>0</v>
      </c>
      <c r="R49" s="516">
        <v>0</v>
      </c>
      <c r="S49" s="516">
        <v>0</v>
      </c>
      <c r="T49" s="516">
        <v>0</v>
      </c>
      <c r="U49" s="516">
        <v>0</v>
      </c>
    </row>
    <row r="50" spans="2:21" ht="15.75" customHeight="1" hidden="1">
      <c r="B50" s="520" t="s">
        <v>443</v>
      </c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</row>
    <row r="51" spans="2:21" ht="16.5">
      <c r="B51" s="494" t="s">
        <v>463</v>
      </c>
      <c r="C51" s="493" t="s">
        <v>464</v>
      </c>
      <c r="D51" s="513" t="s">
        <v>431</v>
      </c>
      <c r="E51" s="514">
        <v>135000</v>
      </c>
      <c r="F51" s="515">
        <v>7015</v>
      </c>
      <c r="G51" s="516">
        <v>10000</v>
      </c>
      <c r="H51" s="516">
        <v>117985</v>
      </c>
      <c r="I51" s="516">
        <v>0</v>
      </c>
      <c r="J51" s="516">
        <v>10000</v>
      </c>
      <c r="K51" s="516">
        <v>0</v>
      </c>
      <c r="L51" s="516">
        <v>0</v>
      </c>
      <c r="M51" s="516">
        <v>0</v>
      </c>
      <c r="N51" s="516">
        <v>117000</v>
      </c>
      <c r="O51" s="516">
        <v>0</v>
      </c>
      <c r="P51" s="516">
        <v>0</v>
      </c>
      <c r="Q51" s="516">
        <v>0</v>
      </c>
      <c r="R51" s="516">
        <v>0</v>
      </c>
      <c r="S51" s="516">
        <v>0</v>
      </c>
      <c r="T51" s="516">
        <v>0</v>
      </c>
      <c r="U51" s="516">
        <v>0</v>
      </c>
    </row>
    <row r="52" spans="2:21" ht="10.5" customHeight="1">
      <c r="B52" s="494" t="s">
        <v>465</v>
      </c>
      <c r="C52" s="493" t="s">
        <v>466</v>
      </c>
      <c r="D52" s="513" t="s">
        <v>406</v>
      </c>
      <c r="E52" s="514">
        <v>150000</v>
      </c>
      <c r="F52" s="515">
        <v>100000</v>
      </c>
      <c r="G52" s="516">
        <v>50000</v>
      </c>
      <c r="H52" s="516">
        <v>0</v>
      </c>
      <c r="I52" s="516">
        <v>0</v>
      </c>
      <c r="J52" s="516">
        <v>50000</v>
      </c>
      <c r="K52" s="516">
        <v>0</v>
      </c>
      <c r="L52" s="516">
        <v>0</v>
      </c>
      <c r="M52" s="516">
        <v>0</v>
      </c>
      <c r="N52" s="516">
        <v>0</v>
      </c>
      <c r="O52" s="516">
        <v>0</v>
      </c>
      <c r="P52" s="516">
        <v>0</v>
      </c>
      <c r="Q52" s="516">
        <v>0</v>
      </c>
      <c r="R52" s="516">
        <v>0</v>
      </c>
      <c r="S52" s="516">
        <v>0</v>
      </c>
      <c r="T52" s="516">
        <v>0</v>
      </c>
      <c r="U52" s="516">
        <v>0</v>
      </c>
    </row>
    <row r="53" spans="2:21" ht="24" customHeight="1">
      <c r="B53" s="494" t="s">
        <v>467</v>
      </c>
      <c r="C53" s="493" t="s">
        <v>468</v>
      </c>
      <c r="D53" s="513" t="s">
        <v>406</v>
      </c>
      <c r="E53" s="514">
        <v>218072.01</v>
      </c>
      <c r="F53" s="515">
        <v>7072.01</v>
      </c>
      <c r="G53" s="516">
        <f>(E53-F53)</f>
        <v>211000</v>
      </c>
      <c r="H53" s="516">
        <v>0</v>
      </c>
      <c r="I53" s="516">
        <v>0</v>
      </c>
      <c r="J53" s="516">
        <v>47445.99</v>
      </c>
      <c r="K53" s="516">
        <v>163554.01</v>
      </c>
      <c r="L53" s="516">
        <v>0</v>
      </c>
      <c r="M53" s="516">
        <v>0</v>
      </c>
      <c r="N53" s="516">
        <v>0</v>
      </c>
      <c r="O53" s="516">
        <v>0</v>
      </c>
      <c r="P53" s="516">
        <v>0</v>
      </c>
      <c r="Q53" s="516">
        <v>0</v>
      </c>
      <c r="R53" s="516">
        <v>0</v>
      </c>
      <c r="S53" s="516">
        <v>0</v>
      </c>
      <c r="T53" s="516">
        <v>0</v>
      </c>
      <c r="U53" s="516">
        <v>0</v>
      </c>
    </row>
    <row r="54" spans="2:21" ht="13.5" customHeight="1">
      <c r="B54" s="532" t="s">
        <v>469</v>
      </c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4"/>
    </row>
    <row r="55" spans="4:21" ht="12.75" customHeight="1">
      <c r="D55" s="535"/>
      <c r="E55" s="512">
        <f aca="true" t="shared" si="0" ref="E55:K55">SUM(E6:E53)</f>
        <v>37416130.08</v>
      </c>
      <c r="F55" s="512">
        <f t="shared" si="0"/>
        <v>1668292.1400000001</v>
      </c>
      <c r="G55" s="512">
        <f t="shared" si="0"/>
        <v>2522693</v>
      </c>
      <c r="H55" s="512">
        <f t="shared" si="0"/>
        <v>20439178.46</v>
      </c>
      <c r="I55" s="512">
        <f t="shared" si="0"/>
        <v>9075966.48</v>
      </c>
      <c r="J55" s="536">
        <f t="shared" si="0"/>
        <v>2026138.99</v>
      </c>
      <c r="K55" s="536">
        <f t="shared" si="0"/>
        <v>163554.01</v>
      </c>
      <c r="L55" s="536">
        <f aca="true" t="shared" si="1" ref="L55:S55">SUM(L6:L52)</f>
        <v>0</v>
      </c>
      <c r="M55" s="536">
        <f t="shared" si="1"/>
        <v>333000</v>
      </c>
      <c r="N55" s="536">
        <f t="shared" si="1"/>
        <v>11526043.88</v>
      </c>
      <c r="O55" s="536">
        <f t="shared" si="1"/>
        <v>8366149.58</v>
      </c>
      <c r="P55" s="536">
        <f t="shared" si="1"/>
        <v>256000</v>
      </c>
      <c r="Q55" s="536">
        <f t="shared" si="1"/>
        <v>290000</v>
      </c>
      <c r="R55" s="536">
        <f t="shared" si="1"/>
        <v>5730966.48</v>
      </c>
      <c r="S55" s="536">
        <f t="shared" si="1"/>
        <v>2615000</v>
      </c>
      <c r="T55" s="536">
        <f>SUM(T17:T49)</f>
        <v>520000</v>
      </c>
      <c r="U55" s="536">
        <f>SUM(U17:U49)</f>
        <v>210000</v>
      </c>
    </row>
    <row r="56" spans="4:9" ht="8.25">
      <c r="D56" s="535"/>
      <c r="E56" s="535"/>
      <c r="F56" s="535"/>
      <c r="G56" s="537"/>
      <c r="H56" s="537"/>
      <c r="I56" s="537"/>
    </row>
    <row r="57" spans="4:9" ht="8.25">
      <c r="D57" s="535"/>
      <c r="E57" s="535"/>
      <c r="F57" s="535"/>
      <c r="G57" s="537"/>
      <c r="H57" s="537"/>
      <c r="I57" s="537"/>
    </row>
    <row r="58" spans="4:9" ht="8.25">
      <c r="D58" s="535"/>
      <c r="E58" s="535"/>
      <c r="F58" s="535"/>
      <c r="G58" s="537"/>
      <c r="H58" s="537"/>
      <c r="I58" s="537"/>
    </row>
    <row r="59" spans="4:9" ht="8.25">
      <c r="D59" s="535"/>
      <c r="E59" s="535"/>
      <c r="F59" s="535"/>
      <c r="G59" s="535"/>
      <c r="H59" s="535"/>
      <c r="I59" s="535"/>
    </row>
    <row r="60" spans="4:9" ht="8.25">
      <c r="D60" s="535"/>
      <c r="E60" s="535"/>
      <c r="F60" s="535"/>
      <c r="G60" s="535"/>
      <c r="H60" s="535"/>
      <c r="I60" s="535"/>
    </row>
  </sheetData>
  <sheetProtection/>
  <mergeCells count="29">
    <mergeCell ref="B21:U21"/>
    <mergeCell ref="B24:U24"/>
    <mergeCell ref="B28:U28"/>
    <mergeCell ref="B35:U35"/>
    <mergeCell ref="B38:U38"/>
    <mergeCell ref="B41:U41"/>
    <mergeCell ref="J4:M4"/>
    <mergeCell ref="N4:Q4"/>
    <mergeCell ref="R4:U4"/>
    <mergeCell ref="B7:U7"/>
    <mergeCell ref="B13:U13"/>
    <mergeCell ref="B18:U18"/>
    <mergeCell ref="S1:U1"/>
    <mergeCell ref="B3:B5"/>
    <mergeCell ref="C3:C5"/>
    <mergeCell ref="D3:D5"/>
    <mergeCell ref="E3:I3"/>
    <mergeCell ref="J3:U3"/>
    <mergeCell ref="E4:E5"/>
    <mergeCell ref="G4:G5"/>
    <mergeCell ref="H4:H5"/>
    <mergeCell ref="I4:I5"/>
    <mergeCell ref="B20:U20"/>
    <mergeCell ref="B30:U30"/>
    <mergeCell ref="B32:U32"/>
    <mergeCell ref="B43:U43"/>
    <mergeCell ref="B46:U46"/>
    <mergeCell ref="B50:U50"/>
    <mergeCell ref="B54:U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Małgorzata Jaworska</cp:lastModifiedBy>
  <cp:lastPrinted>2008-04-28T08:36:12Z</cp:lastPrinted>
  <dcterms:created xsi:type="dcterms:W3CDTF">2007-07-24T12:50:32Z</dcterms:created>
  <dcterms:modified xsi:type="dcterms:W3CDTF">2009-04-30T11:35:23Z</dcterms:modified>
  <cp:category/>
  <cp:version/>
  <cp:contentType/>
  <cp:contentStatus/>
</cp:coreProperties>
</file>