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4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</sheets>
  <definedNames>
    <definedName name="_xlnm.Print_Titles" localSheetId="0">'Zał.nr 1'!$3:$4</definedName>
    <definedName name="_xlnm.Print_Titles" localSheetId="1">'Zał.nr 2'!$3:$4</definedName>
    <definedName name="_xlnm.Print_Titles" localSheetId="2">'Zał.nr 3'!$2:$3</definedName>
  </definedNames>
  <calcPr fullCalcOnLoad="1"/>
</workbook>
</file>

<file path=xl/sharedStrings.xml><?xml version="1.0" encoding="utf-8"?>
<sst xmlns="http://schemas.openxmlformats.org/spreadsheetml/2006/main" count="863" uniqueCount="421">
  <si>
    <t>2007-2011</t>
  </si>
  <si>
    <t>2007-2009</t>
  </si>
  <si>
    <t>2008-2010</t>
  </si>
  <si>
    <t>2007-2010</t>
  </si>
  <si>
    <t>2004-2013</t>
  </si>
  <si>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</si>
  <si>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</si>
  <si>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</si>
  <si>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</si>
  <si>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</si>
  <si>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</si>
  <si>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</si>
  <si>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</si>
  <si>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</si>
  <si>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</si>
  <si>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2007-2008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</si>
  <si>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</si>
  <si>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</si>
  <si>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</si>
  <si>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</si>
  <si>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</si>
  <si>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</si>
  <si>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</si>
  <si>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</si>
  <si>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</si>
  <si>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</si>
  <si>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</si>
  <si>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</si>
  <si>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</si>
  <si>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</si>
  <si>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</si>
  <si>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</si>
  <si>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</si>
  <si>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</si>
  <si>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</si>
  <si>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</si>
  <si>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</si>
  <si>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</si>
  <si>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</si>
  <si>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</si>
  <si>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</si>
  <si>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</si>
  <si>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</si>
  <si>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</si>
  <si>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</si>
  <si>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</si>
  <si>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</si>
  <si>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</si>
  <si>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</si>
  <si>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</si>
  <si>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</si>
  <si>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</si>
  <si>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</si>
  <si>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</si>
  <si>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</si>
  <si>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</si>
  <si>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</si>
  <si>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</si>
  <si>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</si>
  <si>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</si>
  <si>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</si>
  <si>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</si>
  <si>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</si>
  <si>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</si>
  <si>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</si>
  <si>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</si>
  <si>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</si>
  <si>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</si>
  <si>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</si>
  <si>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</si>
  <si>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</si>
  <si>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</si>
  <si>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</si>
  <si>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</si>
  <si>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</si>
  <si>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</si>
  <si>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</si>
  <si>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</si>
  <si>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</si>
  <si>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</si>
  <si>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</si>
  <si>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</si>
  <si>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</si>
  <si>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</si>
  <si>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</si>
  <si>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</si>
  <si>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</si>
  <si>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</si>
  <si>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Budowa sieci wodociągowej w m.Bytyń - Tartak</t>
  </si>
  <si>
    <t>Wykup działek</t>
  </si>
  <si>
    <t>Wykup dróg</t>
  </si>
  <si>
    <t xml:space="preserve">Zakup sprzętu komputerowego </t>
  </si>
  <si>
    <t>Budowa świetlicy wiejskiej w Kiączynie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</si>
  <si>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</si>
  <si>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</si>
  <si>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</si>
  <si>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</si>
  <si>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</si>
  <si>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Ochrona zdrowia</t>
  </si>
  <si>
    <t>Przeciwdziałanie alkoholizmowi</t>
  </si>
  <si>
    <t>Przeniesienie do działu 010-01010-6050</t>
  </si>
  <si>
    <t>Budowa sieci gazowej na terenie gminy.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</si>
  <si>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</si>
  <si>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</si>
  <si>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</si>
  <si>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</si>
  <si>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</si>
  <si>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</si>
  <si>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</si>
  <si>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</si>
  <si>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</si>
  <si>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</si>
  <si>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</si>
  <si>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</si>
  <si>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</si>
  <si>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</si>
  <si>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</si>
  <si>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</si>
  <si>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</si>
  <si>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</si>
  <si>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</si>
  <si>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</si>
  <si>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</si>
  <si>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</si>
  <si>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</si>
  <si>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</si>
  <si>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</si>
  <si>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</si>
  <si>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</si>
  <si>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</si>
  <si>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</si>
  <si>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</si>
  <si>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</si>
  <si>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</si>
  <si>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</si>
  <si>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</si>
  <si>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</si>
  <si>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</si>
  <si>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</si>
  <si>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</si>
  <si>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</si>
  <si>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</si>
  <si>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</si>
  <si>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</si>
  <si>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</si>
  <si>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</si>
  <si>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</si>
  <si>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</si>
  <si>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</si>
  <si>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</si>
  <si>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</si>
  <si>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</si>
  <si>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</si>
  <si>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</si>
  <si>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</si>
  <si>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</si>
  <si>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</si>
  <si>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</si>
  <si>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</si>
  <si>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</si>
  <si>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</si>
  <si>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</si>
  <si>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</si>
  <si>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</si>
  <si>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</si>
  <si>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</si>
  <si>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</si>
  <si>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</si>
  <si>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</si>
  <si>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</si>
  <si>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</si>
  <si>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</si>
  <si>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</si>
  <si>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</si>
  <si>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</si>
  <si>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</si>
  <si>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</si>
  <si>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</si>
  <si>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</si>
  <si>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</si>
  <si>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</si>
  <si>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</si>
  <si>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</si>
  <si>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</si>
  <si>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</si>
  <si>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</si>
  <si>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</si>
  <si>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</si>
  <si>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</si>
  <si>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</si>
  <si>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</si>
  <si>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</si>
  <si>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</si>
  <si>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</si>
  <si>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</si>
  <si>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</si>
  <si>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</si>
  <si>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</si>
  <si>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</si>
  <si>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</si>
  <si>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</si>
  <si>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</si>
  <si>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</si>
  <si>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</si>
  <si>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</si>
  <si>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</si>
  <si>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</si>
  <si>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Plan wydatków na wieloletnie programy inwestycyjne</t>
  </si>
  <si>
    <t>Lp.</t>
  </si>
  <si>
    <t>Nazwa i cel programu</t>
  </si>
  <si>
    <t>2004-2009</t>
  </si>
  <si>
    <t>Sieć wodociągowa w Kopaninie</t>
  </si>
  <si>
    <t>2006-2008</t>
  </si>
  <si>
    <t>DOCHODY GMINY KAŹMIERZ W 2008r.</t>
  </si>
  <si>
    <t xml:space="preserve">Plan dochodów budżetowych na 2008 r.               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</si>
  <si>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</si>
  <si>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</si>
  <si>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</si>
  <si>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</si>
  <si>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</si>
  <si>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</si>
  <si>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</si>
  <si>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</si>
  <si>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</si>
  <si>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WYDATKI GMINY KAŹMIERZ W 2008r.</t>
  </si>
  <si>
    <t xml:space="preserve">Plan wydatków budżetowych na 2008r. 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</si>
  <si>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</si>
  <si>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</si>
  <si>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</si>
  <si>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</si>
  <si>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</si>
  <si>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</si>
  <si>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</si>
  <si>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</si>
  <si>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</si>
  <si>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</si>
  <si>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</si>
  <si>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</si>
  <si>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</si>
  <si>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</si>
  <si>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WYDATKI MAJĄTKOWE GMINY KAŹMIERZ W 2008 r.</t>
  </si>
  <si>
    <t xml:space="preserve">Plan wydatków majątkowych na 2008 r. </t>
  </si>
  <si>
    <t>Plan wydatków majątkowych na 2008 r. po zmianach</t>
  </si>
  <si>
    <t>Budowa sieci wodociągowej w m.K-rz ul.Szkolna</t>
  </si>
  <si>
    <t>Budowa sieci wodociągowej w m.K-rz ul.Poznańska w kierunku do m.Brzezno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</si>
  <si>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</si>
  <si>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</si>
  <si>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</si>
  <si>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</si>
  <si>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Elektroniczna skrzynka podawcza, podpis elektroniczny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</si>
  <si>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</si>
  <si>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</si>
  <si>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</si>
  <si>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</si>
  <si>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</si>
  <si>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</si>
  <si>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Oświetlenie dróg osiedlowych na terenie gminy Kaźmierz: m.Pólko</t>
  </si>
  <si>
    <t>Budowa centrum rekreacyjno-sportowego w rejonie ul.Leśnej w Kaźmierzu</t>
  </si>
  <si>
    <t>Przebudowa drogi gminnej w Gorszewicach</t>
  </si>
  <si>
    <t>2009-2010</t>
  </si>
  <si>
    <t>2008-2009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</si>
  <si>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</si>
  <si>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</si>
  <si>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</si>
  <si>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</si>
  <si>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</si>
  <si>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</si>
  <si>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Oświetlenie uliczne w  m.Komorowo</t>
  </si>
  <si>
    <t>Okres realizacji programu</t>
  </si>
  <si>
    <t>Wysokośc wydatków w okresie realizacji</t>
  </si>
  <si>
    <t>Źródła finansowania</t>
  </si>
  <si>
    <t>Ogółem</t>
  </si>
  <si>
    <t>Koszty poniesione w latach poprz.</t>
  </si>
  <si>
    <t>Koszty do poniesienia</t>
  </si>
  <si>
    <t>środki własne</t>
  </si>
  <si>
    <t>środki bezzwrotne z UE</t>
  </si>
  <si>
    <t>kredyt</t>
  </si>
  <si>
    <t>inne żródła</t>
  </si>
  <si>
    <t>1.</t>
  </si>
  <si>
    <t xml:space="preserve">Budowa SUW w m. Gaj Wielki </t>
  </si>
  <si>
    <t>2.</t>
  </si>
  <si>
    <t xml:space="preserve">Rozbudowa sieci wodociagowej na terenie Kaźmierza: </t>
  </si>
  <si>
    <t>a)</t>
  </si>
  <si>
    <t>Sieć wodociągowa Kaźmierz, rej. ul. Polna - Reja</t>
  </si>
  <si>
    <t>b)</t>
  </si>
  <si>
    <t>Sieć wodociągowa Kaźmierz, rej. ul. Szkolnej</t>
  </si>
  <si>
    <t>c)</t>
  </si>
  <si>
    <t>Sieć wodociągowa w m. Kaźmierz rej.ul. Konopnickiej-Dolnej</t>
  </si>
  <si>
    <t>2006-2010</t>
  </si>
  <si>
    <t>d)</t>
  </si>
  <si>
    <t>Sieć wodociągowa Kaźmierz ul. Poznańska w kierunku do m. Brzezno</t>
  </si>
  <si>
    <t>3.</t>
  </si>
  <si>
    <t>Sieć wodociągowa Radzyny osiedle rej. ul. Krańcowej I, II, III</t>
  </si>
  <si>
    <t>4.</t>
  </si>
  <si>
    <t>5.</t>
  </si>
  <si>
    <t>Sieć wodociągowa Bytyń-Tartak</t>
  </si>
  <si>
    <t>6.</t>
  </si>
  <si>
    <t>Sieć wodociągowa Radzyny-Chrusty</t>
  </si>
  <si>
    <t>7.</t>
  </si>
  <si>
    <t>Budowa świetlicy wiejskiej w m. Kiączyn</t>
  </si>
  <si>
    <t>8.</t>
  </si>
  <si>
    <t>Rozbudowa oczyszczalni ścieków w Kiaczynie wraz z siecią kanalizacji sanitarnej (tzw. układ Kaźmierz - Kiączyn)</t>
  </si>
  <si>
    <t>9.</t>
  </si>
  <si>
    <t>Remont i przebudowa płyty Rynku w Kaźmierzu</t>
  </si>
  <si>
    <t>10.</t>
  </si>
  <si>
    <t>Budowa punktu widokowego w Radzynach ze ścieżką rowerową i infrastrukturą</t>
  </si>
  <si>
    <t>11.</t>
  </si>
  <si>
    <t>Budowa drogi dojazdowej do gruntów rolnych Gaj Wielki - Jankowice.</t>
  </si>
  <si>
    <t>12.</t>
  </si>
  <si>
    <t>Budowa drogi dojazdowej do gruntów rolnych Kopanina.</t>
  </si>
  <si>
    <t>13.</t>
  </si>
  <si>
    <t>Budowa drogi dojazdowej do gruntów rolnych Witkowice - Gorszewice.</t>
  </si>
  <si>
    <t>14.</t>
  </si>
  <si>
    <t>Przebudowa ul Okrężnej w Kaźmierzu</t>
  </si>
  <si>
    <t>15.</t>
  </si>
  <si>
    <t>16.</t>
  </si>
  <si>
    <t>Budowa chodnika wraz z kanalizacją deszczową w ul. Reja w Kaźmierzu</t>
  </si>
  <si>
    <t>17.</t>
  </si>
  <si>
    <t>Oświetlenie dróg osiedlowych na terenie gminy Kaźmierz: m. Pólko</t>
  </si>
  <si>
    <t>18.</t>
  </si>
  <si>
    <t>Oświetlenie uliczne w m. Komorowe</t>
  </si>
  <si>
    <t>19.</t>
  </si>
  <si>
    <t>Oświetlenie dróg osiedlowych w Kaźmierzu, rej. Konopnickiej - Dolnej</t>
  </si>
  <si>
    <t>20.</t>
  </si>
  <si>
    <t>Oświetlenie dróg osiedlowych w Kaźmierzu, rej. Szamotulska - Cisowa</t>
  </si>
  <si>
    <t>2010-2011</t>
  </si>
  <si>
    <t>21.</t>
  </si>
  <si>
    <t>22.</t>
  </si>
  <si>
    <t xml:space="preserve">Budowa centrum rekreacyjno - sportowego w rejonie ul. Leśnej w Kaźmierzu </t>
  </si>
  <si>
    <t>2008-2011</t>
  </si>
  <si>
    <t>23.</t>
  </si>
  <si>
    <t xml:space="preserve">Budowa boiska ze sztuczną nawierzchnią przy szkole podstawowej w Kaźmierzu </t>
  </si>
  <si>
    <t>24.</t>
  </si>
  <si>
    <t>25.</t>
  </si>
  <si>
    <t>Rekompensaty utraconych dochodów w podatkach i opłatach lokalnych</t>
  </si>
  <si>
    <t>Budowa sieci gazowej (bez przyłączy) od m.Pólko przez m.Piersko do m.Bytyń</t>
  </si>
  <si>
    <t>Budowa Pomnika Powstańców Wielkopolskich w Kaźmierzu</t>
  </si>
  <si>
    <t>Monitoring SP w Kaźmierzu</t>
  </si>
  <si>
    <t>Monitoring wizyjny w Gimnazjum w Kaźmierzu</t>
  </si>
  <si>
    <t>Kosiarka MTD GUDBROD GLX wraz z rozrzutnikiem nawozu</t>
  </si>
  <si>
    <t>Odsetki za nieterminowe regulowanie należności podatkowych</t>
  </si>
  <si>
    <t>Wpływ z tytułu  pomocy finansowej udzielanej między jednostkami samorządu terytorialnego na dofinansowanie własnych zadań bieżących</t>
  </si>
  <si>
    <t>Beczkowóz asenizacyjny.</t>
  </si>
  <si>
    <t>Autobus do przewozu niepełnosprawnych uczniów zamieszkujących teren Gminy</t>
  </si>
  <si>
    <t>Urządzenia monitorujące Rynek w Kaźmierzu</t>
  </si>
  <si>
    <t>0870</t>
  </si>
  <si>
    <t>Wpływy ze sprzedaży składników majątkowych</t>
  </si>
  <si>
    <t>0960</t>
  </si>
  <si>
    <t>Otrzymane spadki, zapisy i darowizny w postaci pieniężnej</t>
  </si>
  <si>
    <t>Dotacje celowe otrzymane z budżetu państwa na inwestycje i zakupy inwestycyjne z zakresu administracji rządowej oraz innych zadań zleconych gminom ustawami</t>
  </si>
  <si>
    <t>Zał.Nr 1 do Uchwały Nr XXXII/167/08 Rady Gminy Kaźmierz z dn.04.12.2008 r.</t>
  </si>
  <si>
    <t>Zwiększenie wpływów z  tytułu innych opłat na podstawie wykonania na 28.11.2008 r.</t>
  </si>
  <si>
    <t>Zwiększenie dochodów z tytułu podatku od środków transportowych na podstawie otrzymanych korekt deklaracji podatkowych</t>
  </si>
  <si>
    <t>Refundacja zastępczej słuzby wojskowej</t>
  </si>
  <si>
    <t>Zmniejszenie dotacji celowej na zasiłki i pomoc w naturze (pismo Wojewody Wielkopolskiego znak FB.I-4.3011-481/08 z dn.13.11.2008 r.)</t>
  </si>
  <si>
    <r>
      <rPr>
        <b/>
        <sz val="8"/>
        <rFont val="Times New Roman CE"/>
        <family val="0"/>
      </rPr>
      <t>1.</t>
    </r>
    <r>
      <rPr>
        <sz val="8"/>
        <rFont val="Times New Roman CE"/>
        <family val="1"/>
      </rPr>
      <t xml:space="preserve"> Zmniejszenie dotacji celowej na dodatek dla pracownika socjalnego o </t>
    </r>
    <r>
      <rPr>
        <b/>
        <sz val="8"/>
        <rFont val="Times New Roman CE"/>
        <family val="0"/>
      </rPr>
      <t>1.250,00                                              2.</t>
    </r>
    <r>
      <rPr>
        <sz val="8"/>
        <rFont val="Times New Roman CE"/>
        <family val="0"/>
      </rPr>
      <t xml:space="preserve"> Zwiększenie dotacji na dofinansowanie kosztów wydawania świadczeń w związku ze wzrostem kosztów utrzymania o </t>
    </r>
    <r>
      <rPr>
        <b/>
        <sz val="8"/>
        <rFont val="Times New Roman CE"/>
        <family val="0"/>
      </rPr>
      <t xml:space="preserve">6.508,00                                                                                                                        </t>
    </r>
    <r>
      <rPr>
        <sz val="8"/>
        <rFont val="Times New Roman CE"/>
        <family val="0"/>
      </rPr>
      <t>(pismo Wojewody Wielkopolskiego znak FB.I-4.3011-481/08 z dn.13.11.2008 r.)</t>
    </r>
  </si>
  <si>
    <t>Dotacja celowa na pomoc materialną o charakterze edukacyjnym udzielaną dzieciom w wieku przedszkolnym oraz uczniom potrzebującym szczególnego wsparcia zgodnie z uchwałą Rady Ministrów Nr 179 z dnia 16 września 2008 r. w sprawie Rządowego programu wyrównywania szans edukacyjnych dzieci i młodzieży w 2008 r. "Aktywizacja jednostek samorządu terytorialnego i organizacji pozarządowych". (pismo Wojewody Wielkopolskiego znak FB.I-3.3011-428/08 z dn.19.11.2008 r.)</t>
  </si>
  <si>
    <t>Zał.Nr 2 do Uchwały Nr XXXII/167/08 Rady Gminy Kaźmierz z dn.04.12.2008 r.</t>
  </si>
  <si>
    <t>Środki na konserwację kanalizacji deszczowej w Chlewiskach oraz rowów BT-7 w m.Witkowice, S8a-3 w m.Gaj Wielki i rowu melioracyjnego w m.Pólko rej.ul.Klonowej, konserwacja koryta rzeki Samy i cieków sąsiadujących</t>
  </si>
  <si>
    <t xml:space="preserve">Zmniejszenie środków na:                                                                                           * Budowę SUW w m.Gaj Wielki  o 20.000,00                                                                                                      </t>
  </si>
  <si>
    <t>Środki na zakup zadrzewień uzupełniających zgodnie z warunkami określonymi w decyzja ch Starosty Szamotulskiego związanych z pozwoleniami na usuwanie drzew i krzewów z terenów stanowiących własność gminy.</t>
  </si>
  <si>
    <r>
      <t xml:space="preserve">Zmniejszenie  środków na:                                                                                                                            * zadanie pn."Budowa drogi dojazdowej do gruntów rolnych Gaj Wielki-Jankowice o </t>
    </r>
    <r>
      <rPr>
        <b/>
        <sz val="8"/>
        <rFont val="Times New Roman"/>
        <family val="1"/>
      </rPr>
      <t>3.042,00</t>
    </r>
    <r>
      <rPr>
        <sz val="8"/>
        <rFont val="Times New Roman"/>
        <family val="1"/>
      </rPr>
      <t xml:space="preserve">                                                                                         * zadanie pn."Budowa chodnika wraz z kanalizacją deszczową ul.Reja w Kaźmierzu" o </t>
    </r>
    <r>
      <rPr>
        <b/>
        <sz val="8"/>
        <rFont val="Times New Roman"/>
        <family val="1"/>
      </rPr>
      <t>12.158,00</t>
    </r>
  </si>
  <si>
    <t>Zwiąkszenie dotacji przedmiotowej do działu gospodarki ściekowej.</t>
  </si>
  <si>
    <t>Rezygnacja z planowanego zakupu przyczepy rolniczej 6t</t>
  </si>
  <si>
    <r>
      <t xml:space="preserve">Zmniejszenie  środków na:                                                                                                                            * zadanie pn."Budowa targowiska w Kaźmierzu" o </t>
    </r>
    <r>
      <rPr>
        <b/>
        <sz val="8"/>
        <rFont val="Times New Roman"/>
        <family val="1"/>
      </rPr>
      <t>60.000,00</t>
    </r>
    <r>
      <rPr>
        <sz val="8"/>
        <rFont val="Times New Roman"/>
        <family val="1"/>
      </rPr>
      <t xml:space="preserve">                                                                                         * zadanie pn."Budowa budynku mieszkalnego socjalnego w Kiączynie" o </t>
    </r>
    <r>
      <rPr>
        <b/>
        <sz val="8"/>
        <rFont val="Times New Roman"/>
        <family val="1"/>
      </rPr>
      <t>40.000,00</t>
    </r>
  </si>
  <si>
    <t>Środki na wyykup dróg dz.29/11, 29/21 i 24/8 w m.Kaźmierz</t>
  </si>
  <si>
    <t xml:space="preserve">Zmniejszenie środków na plan zagospodarowania przestrzennego Radzyny rej.ul.Krańcowej "III" </t>
  </si>
  <si>
    <t>Środki na opracowanie ekofizjograficzne.</t>
  </si>
  <si>
    <t>Środki na bieżące potrzeby Rady Gminy</t>
  </si>
  <si>
    <t>Środki na bieżące utrzymanie działalności Urzędu Gminy w Kaźmierzu</t>
  </si>
  <si>
    <t>Zmniejszenie środków na zadanie pn."Rozbudowa budynku administracyjnego Urzędu Gminy w Kaźmierzu z uwzględnieniem dostosowania budynku dla osób niepełnosprawnych"</t>
  </si>
  <si>
    <t>Środki na oprawę muzyczną uroczystości gminnej odsłonięcie Pomnika Powstańców Wielkopolskich w Kaźmierzu, umowa o dzieło</t>
  </si>
  <si>
    <t>Środki na bieżące potrzeby sołectv oraz na drobne remonty świetlic wiejskich</t>
  </si>
  <si>
    <t>Zmniejszenie środków na zadanie pn."Budowa placów zabaw na terenie Gminy Kaźmierz"</t>
  </si>
  <si>
    <t>Zmniejszenie środków na zakup sprzętu do celów  promocyjnych</t>
  </si>
  <si>
    <t xml:space="preserve">Środki na bieżące utrzymanie gminnych jednostek OSP </t>
  </si>
  <si>
    <t>Zwiększenie dotacji dla OSP Kaźmierz na modernizację budynku strażnicy.</t>
  </si>
  <si>
    <t>Rezerwa przeznaczona na prace melioracyjne na terenie gminy.</t>
  </si>
  <si>
    <t>Zmniejszenie środków na zasiłki i pomoc w naturze</t>
  </si>
  <si>
    <t>Zmniejszenie środków na wynagrodzenie osobowe</t>
  </si>
  <si>
    <t xml:space="preserve">Środki na dofinansowanie kosztów wydawania świadczeń w związku ze wzrostem kosztów utrzymania </t>
  </si>
  <si>
    <t>Środki na pomoc materialną o charakterze edukacyjnym udzielaną dzieciom w wieku przedszkolnym oraz uczniom potrzebującym szczególnego wsparcia zgodnie z uchwałą Rady Ministrów Nr 179 z dnia 16 września 2008 r. w sprawie Rządowego programu wyrównywania szans edukacyjnych dzieci i młodzieży w 2008 r. "Aktywizacja jednostek samorządu terytorialnego i organizacji pozarządowych". Dotacja 38.234,00, środki własne 6.286,00</t>
  </si>
  <si>
    <t>Środki na zakup lamp na uzupełnienie oświetlenia ulicznego na terenie gminy</t>
  </si>
  <si>
    <t>Środki na wynajem i montaż świątecznych dekoracji świetlnych na Rynku w Kaźmierzu</t>
  </si>
  <si>
    <r>
      <t xml:space="preserve">Zmniejszenie  środków na:                                                                                                                            * zadanie pn."Oświetlenie uliczne w m.Komorowo" o </t>
    </r>
    <r>
      <rPr>
        <b/>
        <sz val="8"/>
        <rFont val="Times New Roman"/>
        <family val="1"/>
      </rPr>
      <t>2.500,00</t>
    </r>
    <r>
      <rPr>
        <sz val="8"/>
        <rFont val="Times New Roman"/>
        <family val="1"/>
      </rPr>
      <t xml:space="preserve">                                                                                         * zadanie pn."Oświetlenie dróg osiedlowych na terenie Gminy Kaźmierz: m.Pólko" o </t>
    </r>
    <r>
      <rPr>
        <b/>
        <sz val="8"/>
        <rFont val="Times New Roman"/>
        <family val="1"/>
      </rPr>
      <t>7.261,00</t>
    </r>
  </si>
  <si>
    <t>Środki na zakup energii, wody i gazu w toaletach publicznych</t>
  </si>
  <si>
    <t>Środki na dotację dla Gminnej Biblioteki w Kaźmierzu</t>
  </si>
  <si>
    <t>Zmniejszenie środków na zadanie pn. "Budowa kompleksu boisk wielofunkcyjnych Orlik 2012"</t>
  </si>
  <si>
    <t>Zał.Nr 3 do Uchwały Nr XXXII/167/08 Rady Gminy Kaźmierz z dn.04.12.2008 r.</t>
  </si>
  <si>
    <t>PLAN PRZYCHODÓW I WYDATKÓW ZAKŁADU USŁUG  KOMUNALNYCH W KAŹMIERZU W 2008 r.</t>
  </si>
  <si>
    <t>Dział</t>
  </si>
  <si>
    <t>Nazwa</t>
  </si>
  <si>
    <t xml:space="preserve">Przychody </t>
  </si>
  <si>
    <t>Przychody po zmianach</t>
  </si>
  <si>
    <t>Wydatki</t>
  </si>
  <si>
    <t>Wydatki po zmianach</t>
  </si>
  <si>
    <t>Wytwarzanie i zaopatrywanie w energię elektryczną, gaz i wodę</t>
  </si>
  <si>
    <t>Zwiększenie przychodów za dostarczanie wody</t>
  </si>
  <si>
    <t>w tym dotacje:</t>
  </si>
  <si>
    <t>przedmiotowa</t>
  </si>
  <si>
    <t>na zakupy inwestycyjne</t>
  </si>
  <si>
    <t>w tym dotacja przedmiotowa</t>
  </si>
  <si>
    <t>Gospodarka komunalna i ochrona srodowiska</t>
  </si>
  <si>
    <t>Zmniejszenie przychodów za odbiór ścieków i nieczystości stałych i zwiększenie przychodów z pozostałej działalności</t>
  </si>
  <si>
    <t>Zał.Nr 4 do Uchwały Nr XXXII/167/08 Rady Gminy Kaźmierz z dn.04.12.2008 r.</t>
  </si>
  <si>
    <t>Wykonanie na dzień 13.11.2008</t>
  </si>
  <si>
    <t>Różnica</t>
  </si>
  <si>
    <t>Pomoc finansowa dla Powiatu Szamotulskiego na budowę chodnika przy ul.Konopnickiej w m.Kaźmierz</t>
  </si>
  <si>
    <t>Przebudowa dojazdu dla autobusu szkolnego w m.Piersko</t>
  </si>
  <si>
    <t xml:space="preserve">Budowa chodnika wraz z kanalizacją deszczową w ul.Reja w Kaźmierzu  </t>
  </si>
  <si>
    <t>Przyczepa rolnicza 6t</t>
  </si>
  <si>
    <t>Budowa kotłowni gazowej z siecią centralnego ogrzewania w budynku świetlicy wiejskiej w Gaju Wielkim</t>
  </si>
  <si>
    <t>Samochód pożarniczy Ford Transit dla OSP Chlewiska</t>
  </si>
  <si>
    <t>Dotacja dla jednostki OSP w Kaźmierzu na modernizację budynku strażnicy z dotacjami z MSWiA, ZGł.ZOSP, ZW ZOSP</t>
  </si>
  <si>
    <t xml:space="preserve">Zakup drabinek do Sali gimnastycznej </t>
  </si>
  <si>
    <t>Budowa placu zabaw przy przedszkolu w Gaju Wielkim</t>
  </si>
  <si>
    <t>Monitoring w Gimnazjum w Kaźmierzu</t>
  </si>
  <si>
    <t>Budowa kotłowni gazowej  w budynku Ośrodka Zdrowia w Kaźmierzu</t>
  </si>
  <si>
    <t>Budowa kompleksu boisk wielofunkcyjnych Orlik 2012</t>
  </si>
  <si>
    <t>Zał.Nr 5 do Uchwały Nr XXXII/167/08  Rady Gminy Kaźmierz z dn.04.12.2008 r.</t>
  </si>
  <si>
    <t>Rozbudowa budynku administracyjnego Urzędu Gminy w Kaźmierzu z uwzględnieniem dostosowania budynku dla osób niepełnosprawnych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</si>
</sst>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color indexed="30"/>
      <name val="Times New Roman CE"/>
      <family val="1"/>
    </font>
    <font>
      <sz val="10"/>
      <color indexed="30"/>
      <name val="Times New Roman CE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quotePrefix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4" fontId="10" fillId="35" borderId="13" xfId="0" applyNumberFormat="1" applyFont="1" applyFill="1" applyBorder="1" applyAlignment="1">
      <alignment horizontal="center" vertical="center" wrapText="1"/>
    </xf>
    <xf numFmtId="4" fontId="15" fillId="35" borderId="13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4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5" borderId="11" xfId="0" applyFont="1" applyFill="1" applyBorder="1" applyAlignment="1" quotePrefix="1">
      <alignment horizontal="center" vertical="center"/>
    </xf>
    <xf numFmtId="4" fontId="11" fillId="34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23" fillId="33" borderId="21" xfId="0" applyNumberFormat="1" applyFont="1" applyFill="1" applyBorder="1" applyAlignment="1">
      <alignment horizontal="center" vertical="center" wrapText="1"/>
    </xf>
    <xf numFmtId="4" fontId="14" fillId="33" borderId="21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quotePrefix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" fontId="21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22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Alignment="1">
      <alignment horizontal="right" vertical="center" wrapText="1"/>
    </xf>
    <xf numFmtId="2" fontId="25" fillId="0" borderId="0" xfId="0" applyNumberFormat="1" applyFont="1" applyFill="1" applyAlignment="1">
      <alignment horizontal="right" vertical="center" wrapText="1"/>
    </xf>
    <xf numFmtId="0" fontId="25" fillId="38" borderId="10" xfId="0" applyNumberFormat="1" applyFont="1" applyFill="1" applyBorder="1" applyAlignment="1">
      <alignment horizontal="center" vertical="center" wrapText="1"/>
    </xf>
    <xf numFmtId="4" fontId="26" fillId="38" borderId="10" xfId="0" applyNumberFormat="1" applyFont="1" applyFill="1" applyBorder="1" applyAlignment="1">
      <alignment horizontal="right" vertical="center" wrapText="1"/>
    </xf>
    <xf numFmtId="4" fontId="25" fillId="38" borderId="10" xfId="0" applyNumberFormat="1" applyFont="1" applyFill="1" applyBorder="1" applyAlignment="1">
      <alignment horizontal="right" vertical="center" wrapText="1"/>
    </xf>
    <xf numFmtId="4" fontId="26" fillId="38" borderId="23" xfId="0" applyNumberFormat="1" applyFont="1" applyFill="1" applyBorder="1" applyAlignment="1">
      <alignment horizontal="right" vertical="center" wrapText="1"/>
    </xf>
    <xf numFmtId="4" fontId="25" fillId="38" borderId="11" xfId="0" applyNumberFormat="1" applyFont="1" applyFill="1" applyBorder="1" applyAlignment="1">
      <alignment horizontal="right" vertical="center" wrapText="1"/>
    </xf>
    <xf numFmtId="4" fontId="25" fillId="38" borderId="23" xfId="0" applyNumberFormat="1" applyFont="1" applyFill="1" applyBorder="1" applyAlignment="1">
      <alignment horizontal="right" vertical="center" wrapText="1"/>
    </xf>
    <xf numFmtId="4" fontId="25" fillId="38" borderId="22" xfId="0" applyNumberFormat="1" applyFont="1" applyFill="1" applyBorder="1" applyAlignment="1">
      <alignment horizontal="right" vertical="center" wrapText="1"/>
    </xf>
    <xf numFmtId="4" fontId="25" fillId="0" borderId="24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4" fontId="25" fillId="0" borderId="23" xfId="0" applyNumberFormat="1" applyFont="1" applyFill="1" applyBorder="1" applyAlignment="1">
      <alignment vertical="center" wrapText="1"/>
    </xf>
    <xf numFmtId="4" fontId="25" fillId="0" borderId="22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2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25" xfId="0" applyNumberFormat="1" applyFont="1" applyFill="1" applyBorder="1" applyAlignment="1">
      <alignment horizontal="right" vertical="center" wrapText="1"/>
    </xf>
    <xf numFmtId="2" fontId="25" fillId="0" borderId="23" xfId="0" applyNumberFormat="1" applyFont="1" applyFill="1" applyBorder="1" applyAlignment="1">
      <alignment horizontal="right" vertical="center" wrapText="1"/>
    </xf>
    <xf numFmtId="2" fontId="26" fillId="35" borderId="26" xfId="0" applyNumberFormat="1" applyFont="1" applyFill="1" applyBorder="1" applyAlignment="1">
      <alignment horizontal="center" vertical="center" wrapText="1"/>
    </xf>
    <xf numFmtId="2" fontId="26" fillId="35" borderId="27" xfId="0" applyNumberFormat="1" applyFont="1" applyFill="1" applyBorder="1" applyAlignment="1">
      <alignment horizontal="center" vertical="center" wrapText="1"/>
    </xf>
    <xf numFmtId="0" fontId="26" fillId="35" borderId="27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4" fontId="26" fillId="0" borderId="26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horizontal="right" vertical="center"/>
    </xf>
    <xf numFmtId="2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4" fontId="15" fillId="0" borderId="15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2" fillId="36" borderId="17" xfId="0" applyFont="1" applyFill="1" applyBorder="1" applyAlignment="1">
      <alignment vertical="center"/>
    </xf>
    <xf numFmtId="4" fontId="22" fillId="35" borderId="10" xfId="0" applyNumberFormat="1" applyFont="1" applyFill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35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vertical="center" wrapText="1"/>
    </xf>
    <xf numFmtId="4" fontId="22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right" vertical="center" wrapText="1"/>
    </xf>
    <xf numFmtId="4" fontId="3" fillId="38" borderId="10" xfId="0" applyNumberFormat="1" applyFont="1" applyFill="1" applyBorder="1" applyAlignment="1">
      <alignment vertical="center"/>
    </xf>
    <xf numFmtId="4" fontId="4" fillId="38" borderId="10" xfId="0" applyNumberFormat="1" applyFont="1" applyFill="1" applyBorder="1" applyAlignment="1">
      <alignment vertical="center"/>
    </xf>
    <xf numFmtId="4" fontId="3" fillId="38" borderId="10" xfId="0" applyNumberFormat="1" applyFont="1" applyFill="1" applyBorder="1" applyAlignment="1">
      <alignment vertical="center"/>
    </xf>
    <xf numFmtId="4" fontId="3" fillId="38" borderId="10" xfId="0" applyNumberFormat="1" applyFont="1" applyFill="1" applyBorder="1" applyAlignment="1">
      <alignment horizontal="right" vertical="center"/>
    </xf>
    <xf numFmtId="4" fontId="4" fillId="38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29" fillId="0" borderId="0" xfId="0" applyFont="1" applyAlignment="1">
      <alignment horizontal="left" vertical="center" wrapText="1"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 wrapText="1"/>
    </xf>
    <xf numFmtId="4" fontId="30" fillId="35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vertical="center" wrapText="1"/>
    </xf>
    <xf numFmtId="4" fontId="30" fillId="35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23" fillId="35" borderId="13" xfId="0" applyNumberFormat="1" applyFont="1" applyFill="1" applyBorder="1" applyAlignment="1">
      <alignment horizontal="center" vertical="center" wrapText="1"/>
    </xf>
    <xf numFmtId="4" fontId="30" fillId="35" borderId="13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4" fontId="21" fillId="0" borderId="13" xfId="0" applyNumberFormat="1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left" vertical="center" wrapText="1"/>
    </xf>
    <xf numFmtId="4" fontId="21" fillId="0" borderId="14" xfId="0" applyNumberFormat="1" applyFont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30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0"/>
  <sheetViews>
    <sheetView zoomScale="150" zoomScaleNormal="150" zoomScalePageLayoutView="0" workbookViewId="0" topLeftCell="B114">
      <selection activeCell="B1" sqref="A1:IV16384"/>
    </sheetView>
  </sheetViews>
  <sheetFormatPr defaultColWidth="9.140625" defaultRowHeight="12.75"/>
  <cols>
    <col min="1" max="1" width="4.140625" style="22" customWidth="1"/>
    <col min="2" max="2" width="6.57421875" style="22" customWidth="1"/>
    <col min="3" max="3" width="4.8515625" style="22" customWidth="1"/>
    <col min="4" max="4" width="35.28125" style="22" customWidth="1"/>
    <col min="5" max="5" width="14.57421875" style="3" customWidth="1"/>
    <col min="6" max="6" width="11.8515625" style="148" customWidth="1"/>
    <col min="7" max="12" width="13.421875" style="148" hidden="1" customWidth="1"/>
    <col min="13" max="13" width="13.8515625" style="166" customWidth="1"/>
    <col min="14" max="14" width="52.140625" style="183" customWidth="1"/>
    <col min="15" max="16384" width="9.140625" style="22" customWidth="1"/>
  </cols>
  <sheetData>
    <row r="1" spans="1:14" ht="21">
      <c r="A1" s="20" t="s">
        <v>213</v>
      </c>
      <c r="B1" s="21"/>
      <c r="C1" s="21"/>
      <c r="E1" s="1"/>
      <c r="F1" s="147"/>
      <c r="G1" s="147"/>
      <c r="H1" s="147"/>
      <c r="I1" s="147"/>
      <c r="J1" s="147"/>
      <c r="K1" s="147"/>
      <c r="L1" s="147"/>
      <c r="M1" s="2"/>
      <c r="N1" s="182" t="s">
        <v>350</v>
      </c>
    </row>
    <row r="2" spans="1:13" ht="13.5" thickBot="1">
      <c r="A2" s="125"/>
      <c r="B2" s="21"/>
      <c r="C2" s="21"/>
      <c r="M2" s="2"/>
    </row>
    <row r="3" spans="1:14" s="187" customFormat="1" ht="38.25">
      <c r="A3" s="184" t="s">
        <v>21</v>
      </c>
      <c r="B3" s="184" t="s">
        <v>22</v>
      </c>
      <c r="C3" s="184" t="s">
        <v>23</v>
      </c>
      <c r="D3" s="184" t="s">
        <v>24</v>
      </c>
      <c r="E3" s="184" t="s">
        <v>214</v>
      </c>
      <c r="F3" s="185" t="s">
        <v>25</v>
      </c>
      <c r="G3" s="185"/>
      <c r="H3" s="185"/>
      <c r="I3" s="185"/>
      <c r="J3" s="185"/>
      <c r="K3" s="185"/>
      <c r="L3" s="185"/>
      <c r="M3" s="186" t="s">
        <v>215</v>
      </c>
      <c r="N3" s="184" t="s">
        <v>26</v>
      </c>
    </row>
    <row r="4" spans="1:14" s="5" customFormat="1" ht="15.75">
      <c r="A4" s="126"/>
      <c r="B4" s="188"/>
      <c r="C4" s="188"/>
      <c r="D4" s="188"/>
      <c r="E4" s="188"/>
      <c r="F4" s="149"/>
      <c r="G4" s="149"/>
      <c r="H4" s="149"/>
      <c r="I4" s="149"/>
      <c r="J4" s="149"/>
      <c r="K4" s="149"/>
      <c r="L4" s="149"/>
      <c r="M4" s="189"/>
      <c r="N4" s="190"/>
    </row>
    <row r="5" spans="1:14" s="2" customFormat="1" ht="16.5" customHeight="1" hidden="1">
      <c r="A5" s="191" t="s">
        <v>43</v>
      </c>
      <c r="B5" s="192"/>
      <c r="C5" s="192"/>
      <c r="D5" s="193" t="s">
        <v>44</v>
      </c>
      <c r="E5" s="194">
        <f>E6</f>
        <v>474480</v>
      </c>
      <c r="F5" s="195">
        <f>F6</f>
        <v>0</v>
      </c>
      <c r="G5" s="195">
        <f aca="true" t="shared" si="0" ref="G5:L5">G6</f>
        <v>0</v>
      </c>
      <c r="H5" s="195">
        <f t="shared" si="0"/>
        <v>0</v>
      </c>
      <c r="I5" s="195">
        <f t="shared" si="0"/>
        <v>0</v>
      </c>
      <c r="J5" s="195">
        <f t="shared" si="0"/>
        <v>0</v>
      </c>
      <c r="K5" s="195">
        <f t="shared" si="0"/>
        <v>0</v>
      </c>
      <c r="L5" s="195">
        <f t="shared" si="0"/>
        <v>0</v>
      </c>
      <c r="M5" s="194">
        <f>M6</f>
        <v>474480</v>
      </c>
      <c r="N5" s="196"/>
    </row>
    <row r="6" spans="1:14" s="2" customFormat="1" ht="15" customHeight="1" hidden="1">
      <c r="A6" s="197"/>
      <c r="B6" s="198" t="s">
        <v>51</v>
      </c>
      <c r="C6" s="8"/>
      <c r="D6" s="9" t="s">
        <v>40</v>
      </c>
      <c r="E6" s="199">
        <f>SUM(E7:E8)</f>
        <v>474480</v>
      </c>
      <c r="F6" s="200">
        <f>SUM(F7:F8)</f>
        <v>0</v>
      </c>
      <c r="G6" s="200">
        <f aca="true" t="shared" si="1" ref="G6:L6">SUM(G7:G8)</f>
        <v>0</v>
      </c>
      <c r="H6" s="200">
        <f t="shared" si="1"/>
        <v>0</v>
      </c>
      <c r="I6" s="200">
        <f t="shared" si="1"/>
        <v>0</v>
      </c>
      <c r="J6" s="200">
        <f t="shared" si="1"/>
        <v>0</v>
      </c>
      <c r="K6" s="200">
        <f t="shared" si="1"/>
        <v>0</v>
      </c>
      <c r="L6" s="200">
        <f t="shared" si="1"/>
        <v>0</v>
      </c>
      <c r="M6" s="157">
        <f>M7+M8</f>
        <v>474480</v>
      </c>
      <c r="N6" s="201"/>
    </row>
    <row r="7" spans="1:14" s="2" customFormat="1" ht="76.5" hidden="1">
      <c r="A7" s="197"/>
      <c r="B7" s="10"/>
      <c r="C7" s="11" t="s">
        <v>105</v>
      </c>
      <c r="D7" s="12" t="s">
        <v>106</v>
      </c>
      <c r="E7" s="202">
        <v>6170</v>
      </c>
      <c r="F7" s="177"/>
      <c r="G7" s="177"/>
      <c r="H7" s="177"/>
      <c r="I7" s="177"/>
      <c r="J7" s="177"/>
      <c r="K7" s="177"/>
      <c r="L7" s="177"/>
      <c r="M7" s="152">
        <f>E7+F7+G7+H7+I7+J7+K7+L7</f>
        <v>6170</v>
      </c>
      <c r="N7" s="145"/>
    </row>
    <row r="8" spans="1:14" s="2" customFormat="1" ht="51" hidden="1">
      <c r="A8" s="197"/>
      <c r="B8" s="10"/>
      <c r="C8" s="10">
        <v>2010</v>
      </c>
      <c r="D8" s="12" t="s">
        <v>32</v>
      </c>
      <c r="E8" s="202">
        <v>468310</v>
      </c>
      <c r="F8" s="177"/>
      <c r="G8" s="177"/>
      <c r="H8" s="177"/>
      <c r="I8" s="177"/>
      <c r="J8" s="177"/>
      <c r="K8" s="177"/>
      <c r="L8" s="177"/>
      <c r="M8" s="152">
        <f>E8+F8+G8+H8+I8+J8+K8+L8</f>
        <v>468310</v>
      </c>
      <c r="N8" s="210"/>
    </row>
    <row r="9" spans="1:14" s="4" customFormat="1" ht="16.5" customHeight="1" hidden="1">
      <c r="A9" s="203">
        <v>600</v>
      </c>
      <c r="B9" s="203"/>
      <c r="C9" s="203"/>
      <c r="D9" s="204" t="s">
        <v>53</v>
      </c>
      <c r="E9" s="107">
        <f>E10+E12</f>
        <v>97000</v>
      </c>
      <c r="F9" s="314">
        <f>F10+F12</f>
        <v>0</v>
      </c>
      <c r="G9" s="153">
        <f aca="true" t="shared" si="2" ref="F9:L10">G10</f>
        <v>0</v>
      </c>
      <c r="H9" s="153">
        <f t="shared" si="2"/>
        <v>0</v>
      </c>
      <c r="I9" s="153">
        <f t="shared" si="2"/>
        <v>0</v>
      </c>
      <c r="J9" s="153">
        <f t="shared" si="2"/>
        <v>0</v>
      </c>
      <c r="K9" s="153">
        <f t="shared" si="2"/>
        <v>0</v>
      </c>
      <c r="L9" s="153">
        <f t="shared" si="2"/>
        <v>0</v>
      </c>
      <c r="M9" s="107">
        <f>M10+M12</f>
        <v>97000</v>
      </c>
      <c r="N9" s="205"/>
    </row>
    <row r="10" spans="1:14" s="4" customFormat="1" ht="18" customHeight="1" hidden="1">
      <c r="A10" s="15"/>
      <c r="B10" s="15">
        <v>60014</v>
      </c>
      <c r="C10" s="15"/>
      <c r="D10" s="18" t="s">
        <v>54</v>
      </c>
      <c r="E10" s="121">
        <f>E11</f>
        <v>0</v>
      </c>
      <c r="F10" s="315">
        <f t="shared" si="2"/>
        <v>0</v>
      </c>
      <c r="G10" s="120">
        <f t="shared" si="2"/>
        <v>0</v>
      </c>
      <c r="H10" s="120">
        <f t="shared" si="2"/>
        <v>0</v>
      </c>
      <c r="I10" s="120">
        <f t="shared" si="2"/>
        <v>0</v>
      </c>
      <c r="J10" s="120">
        <f t="shared" si="2"/>
        <v>0</v>
      </c>
      <c r="K10" s="120">
        <f t="shared" si="2"/>
        <v>0</v>
      </c>
      <c r="L10" s="120">
        <f t="shared" si="2"/>
        <v>0</v>
      </c>
      <c r="M10" s="155">
        <f>M11</f>
        <v>0</v>
      </c>
      <c r="N10" s="206"/>
    </row>
    <row r="11" spans="1:14" s="4" customFormat="1" ht="55.5" customHeight="1" hidden="1">
      <c r="A11" s="15"/>
      <c r="B11" s="15"/>
      <c r="C11" s="28">
        <v>6620</v>
      </c>
      <c r="D11" s="29" t="s">
        <v>216</v>
      </c>
      <c r="E11" s="113"/>
      <c r="F11" s="316"/>
      <c r="G11" s="151"/>
      <c r="H11" s="151"/>
      <c r="I11" s="151"/>
      <c r="J11" s="151"/>
      <c r="K11" s="151"/>
      <c r="L11" s="151"/>
      <c r="M11" s="152">
        <f>E11+F11+G11+H11+I11+J11+K11</f>
        <v>0</v>
      </c>
      <c r="N11" s="207"/>
    </row>
    <row r="12" spans="1:14" s="4" customFormat="1" ht="18" customHeight="1" hidden="1">
      <c r="A12" s="15"/>
      <c r="B12" s="15">
        <v>60016</v>
      </c>
      <c r="C12" s="15"/>
      <c r="D12" s="18" t="s">
        <v>57</v>
      </c>
      <c r="E12" s="121">
        <f>E13</f>
        <v>97000</v>
      </c>
      <c r="F12" s="315">
        <f>F13</f>
        <v>0</v>
      </c>
      <c r="G12" s="120">
        <f aca="true" t="shared" si="3" ref="G12:L12">G14</f>
        <v>0</v>
      </c>
      <c r="H12" s="120">
        <f t="shared" si="3"/>
        <v>0</v>
      </c>
      <c r="I12" s="120">
        <f t="shared" si="3"/>
        <v>0</v>
      </c>
      <c r="J12" s="120">
        <f t="shared" si="3"/>
        <v>0</v>
      </c>
      <c r="K12" s="120">
        <f t="shared" si="3"/>
        <v>0</v>
      </c>
      <c r="L12" s="120">
        <f t="shared" si="3"/>
        <v>0</v>
      </c>
      <c r="M12" s="155">
        <f>M14+M13</f>
        <v>97000</v>
      </c>
      <c r="N12" s="206"/>
    </row>
    <row r="13" spans="1:14" s="4" customFormat="1" ht="63.75" hidden="1">
      <c r="A13" s="15"/>
      <c r="B13" s="15"/>
      <c r="C13" s="28">
        <v>6260</v>
      </c>
      <c r="D13" s="29" t="s">
        <v>217</v>
      </c>
      <c r="E13" s="113">
        <v>97000</v>
      </c>
      <c r="F13" s="150"/>
      <c r="G13" s="151"/>
      <c r="H13" s="151"/>
      <c r="I13" s="151"/>
      <c r="J13" s="151"/>
      <c r="K13" s="151"/>
      <c r="L13" s="151"/>
      <c r="M13" s="152">
        <f>E13+F13+G13+H13+I13+J13+K13+L13</f>
        <v>97000</v>
      </c>
      <c r="N13" s="207"/>
    </row>
    <row r="14" spans="1:14" s="4" customFormat="1" ht="61.5" customHeight="1" hidden="1">
      <c r="A14" s="15"/>
      <c r="B14" s="15"/>
      <c r="C14" s="28">
        <v>6300</v>
      </c>
      <c r="D14" s="29" t="s">
        <v>189</v>
      </c>
      <c r="E14" s="113"/>
      <c r="F14" s="151"/>
      <c r="G14" s="151"/>
      <c r="H14" s="151"/>
      <c r="I14" s="151"/>
      <c r="J14" s="151"/>
      <c r="K14" s="151"/>
      <c r="L14" s="151"/>
      <c r="M14" s="152">
        <f>E14+F14+G14+H14+I14+J14+K14</f>
        <v>0</v>
      </c>
      <c r="N14" s="207"/>
    </row>
    <row r="15" spans="1:14" s="4" customFormat="1" ht="17.25" customHeight="1" hidden="1">
      <c r="A15" s="6">
        <v>700</v>
      </c>
      <c r="B15" s="6"/>
      <c r="C15" s="6"/>
      <c r="D15" s="7" t="s">
        <v>27</v>
      </c>
      <c r="E15" s="107">
        <f aca="true" t="shared" si="4" ref="E15:M15">E16</f>
        <v>1045327</v>
      </c>
      <c r="F15" s="153">
        <f t="shared" si="4"/>
        <v>0</v>
      </c>
      <c r="G15" s="153">
        <f t="shared" si="4"/>
        <v>0</v>
      </c>
      <c r="H15" s="153">
        <f t="shared" si="4"/>
        <v>0</v>
      </c>
      <c r="I15" s="153">
        <f t="shared" si="4"/>
        <v>0</v>
      </c>
      <c r="J15" s="153">
        <f t="shared" si="4"/>
        <v>0</v>
      </c>
      <c r="K15" s="153">
        <f t="shared" si="4"/>
        <v>0</v>
      </c>
      <c r="L15" s="153">
        <f t="shared" si="4"/>
        <v>0</v>
      </c>
      <c r="M15" s="107">
        <f t="shared" si="4"/>
        <v>1045327</v>
      </c>
      <c r="N15" s="205"/>
    </row>
    <row r="16" spans="1:14" s="4" customFormat="1" ht="12.75" hidden="1">
      <c r="A16" s="8"/>
      <c r="B16" s="8">
        <v>70005</v>
      </c>
      <c r="C16" s="8"/>
      <c r="D16" s="9" t="s">
        <v>28</v>
      </c>
      <c r="E16" s="108">
        <f>SUM(E17:E22)</f>
        <v>1045327</v>
      </c>
      <c r="F16" s="154">
        <f>SUM(F17:F22)</f>
        <v>0</v>
      </c>
      <c r="G16" s="154">
        <f aca="true" t="shared" si="5" ref="G16:L16">SUM(G17:G22)</f>
        <v>0</v>
      </c>
      <c r="H16" s="154">
        <f t="shared" si="5"/>
        <v>0</v>
      </c>
      <c r="I16" s="154">
        <f t="shared" si="5"/>
        <v>0</v>
      </c>
      <c r="J16" s="154">
        <f t="shared" si="5"/>
        <v>0</v>
      </c>
      <c r="K16" s="154">
        <f t="shared" si="5"/>
        <v>0</v>
      </c>
      <c r="L16" s="154">
        <f t="shared" si="5"/>
        <v>0</v>
      </c>
      <c r="M16" s="155">
        <f>SUM(M17:M22)</f>
        <v>1045327</v>
      </c>
      <c r="N16" s="208"/>
    </row>
    <row r="17" spans="1:14" s="4" customFormat="1" ht="25.5" hidden="1">
      <c r="A17" s="8"/>
      <c r="B17" s="10"/>
      <c r="C17" s="11" t="s">
        <v>107</v>
      </c>
      <c r="D17" s="12" t="s">
        <v>108</v>
      </c>
      <c r="E17" s="113">
        <f>17146+25216</f>
        <v>42362</v>
      </c>
      <c r="F17" s="151"/>
      <c r="G17" s="151"/>
      <c r="H17" s="151"/>
      <c r="I17" s="151"/>
      <c r="J17" s="151"/>
      <c r="K17" s="151"/>
      <c r="L17" s="151"/>
      <c r="M17" s="152">
        <f aca="true" t="shared" si="6" ref="M17:M22">E17+F17+G17+H17+I17+J17+K17+L17</f>
        <v>42362</v>
      </c>
      <c r="N17" s="207"/>
    </row>
    <row r="18" spans="1:14" s="4" customFormat="1" ht="76.5" hidden="1">
      <c r="A18" s="8"/>
      <c r="B18" s="10"/>
      <c r="C18" s="11" t="s">
        <v>105</v>
      </c>
      <c r="D18" s="12" t="s">
        <v>106</v>
      </c>
      <c r="E18" s="113">
        <v>80005</v>
      </c>
      <c r="F18" s="151"/>
      <c r="G18" s="151"/>
      <c r="H18" s="151"/>
      <c r="I18" s="151"/>
      <c r="J18" s="151"/>
      <c r="K18" s="151"/>
      <c r="L18" s="151"/>
      <c r="M18" s="152">
        <f t="shared" si="6"/>
        <v>80005</v>
      </c>
      <c r="N18" s="207"/>
    </row>
    <row r="19" spans="1:14" s="4" customFormat="1" ht="38.25" hidden="1">
      <c r="A19" s="8"/>
      <c r="B19" s="10"/>
      <c r="C19" s="11" t="s">
        <v>109</v>
      </c>
      <c r="D19" s="12" t="s">
        <v>110</v>
      </c>
      <c r="E19" s="113">
        <f>12500+200000+100000+600000</f>
        <v>912500</v>
      </c>
      <c r="F19" s="151"/>
      <c r="G19" s="151"/>
      <c r="H19" s="151"/>
      <c r="I19" s="151"/>
      <c r="J19" s="151"/>
      <c r="K19" s="151"/>
      <c r="L19" s="151"/>
      <c r="M19" s="152">
        <f t="shared" si="6"/>
        <v>912500</v>
      </c>
      <c r="N19" s="207"/>
    </row>
    <row r="20" spans="1:14" s="4" customFormat="1" ht="25.5" hidden="1">
      <c r="A20" s="8"/>
      <c r="B20" s="10"/>
      <c r="C20" s="11" t="s">
        <v>345</v>
      </c>
      <c r="D20" s="12" t="s">
        <v>346</v>
      </c>
      <c r="E20" s="113">
        <v>300</v>
      </c>
      <c r="F20" s="151"/>
      <c r="G20" s="151"/>
      <c r="H20" s="151"/>
      <c r="I20" s="151"/>
      <c r="J20" s="151"/>
      <c r="K20" s="151"/>
      <c r="L20" s="151"/>
      <c r="M20" s="152">
        <f t="shared" si="6"/>
        <v>300</v>
      </c>
      <c r="N20" s="207"/>
    </row>
    <row r="21" spans="1:14" s="4" customFormat="1" ht="26.25" customHeight="1" hidden="1">
      <c r="A21" s="8"/>
      <c r="B21" s="10"/>
      <c r="C21" s="11" t="s">
        <v>111</v>
      </c>
      <c r="D21" s="12" t="s">
        <v>112</v>
      </c>
      <c r="E21" s="113">
        <v>4560</v>
      </c>
      <c r="F21" s="151"/>
      <c r="G21" s="151"/>
      <c r="H21" s="151"/>
      <c r="I21" s="151"/>
      <c r="J21" s="151"/>
      <c r="K21" s="151"/>
      <c r="L21" s="151"/>
      <c r="M21" s="152">
        <f t="shared" si="6"/>
        <v>4560</v>
      </c>
      <c r="N21" s="207"/>
    </row>
    <row r="22" spans="1:14" s="4" customFormat="1" ht="12.75" hidden="1">
      <c r="A22" s="8"/>
      <c r="B22" s="10"/>
      <c r="C22" s="11" t="s">
        <v>29</v>
      </c>
      <c r="D22" s="12" t="s">
        <v>30</v>
      </c>
      <c r="E22" s="113">
        <v>5600</v>
      </c>
      <c r="F22" s="151"/>
      <c r="G22" s="151"/>
      <c r="H22" s="151"/>
      <c r="I22" s="151"/>
      <c r="J22" s="151"/>
      <c r="K22" s="151"/>
      <c r="L22" s="151"/>
      <c r="M22" s="152">
        <f t="shared" si="6"/>
        <v>5600</v>
      </c>
      <c r="N22" s="207"/>
    </row>
    <row r="23" spans="1:14" s="4" customFormat="1" ht="12.75">
      <c r="A23" s="6">
        <v>750</v>
      </c>
      <c r="B23" s="6"/>
      <c r="C23" s="6"/>
      <c r="D23" s="7" t="s">
        <v>31</v>
      </c>
      <c r="E23" s="107">
        <f>E24+E27</f>
        <v>107060</v>
      </c>
      <c r="F23" s="153">
        <f>F24+F27</f>
        <v>3000</v>
      </c>
      <c r="G23" s="153">
        <f aca="true" t="shared" si="7" ref="G23:L23">G24+G27</f>
        <v>0</v>
      </c>
      <c r="H23" s="153">
        <f t="shared" si="7"/>
        <v>0</v>
      </c>
      <c r="I23" s="153">
        <f t="shared" si="7"/>
        <v>0</v>
      </c>
      <c r="J23" s="153">
        <f t="shared" si="7"/>
        <v>0</v>
      </c>
      <c r="K23" s="153">
        <f t="shared" si="7"/>
        <v>0</v>
      </c>
      <c r="L23" s="153">
        <f t="shared" si="7"/>
        <v>0</v>
      </c>
      <c r="M23" s="107">
        <f>M24+M27</f>
        <v>110060</v>
      </c>
      <c r="N23" s="205"/>
    </row>
    <row r="24" spans="1:14" s="4" customFormat="1" ht="16.5" customHeight="1">
      <c r="A24" s="8"/>
      <c r="B24" s="8">
        <v>75011</v>
      </c>
      <c r="C24" s="8"/>
      <c r="D24" s="9" t="s">
        <v>153</v>
      </c>
      <c r="E24" s="121">
        <f>SUM(E25:E26)</f>
        <v>57900</v>
      </c>
      <c r="F24" s="120">
        <f>SUM(F25:F26)</f>
        <v>0</v>
      </c>
      <c r="G24" s="120">
        <f aca="true" t="shared" si="8" ref="G24:L24">SUM(G25:G26)</f>
        <v>0</v>
      </c>
      <c r="H24" s="120">
        <f t="shared" si="8"/>
        <v>0</v>
      </c>
      <c r="I24" s="120">
        <f t="shared" si="8"/>
        <v>0</v>
      </c>
      <c r="J24" s="120">
        <f t="shared" si="8"/>
        <v>0</v>
      </c>
      <c r="K24" s="120">
        <f t="shared" si="8"/>
        <v>0</v>
      </c>
      <c r="L24" s="120">
        <f t="shared" si="8"/>
        <v>0</v>
      </c>
      <c r="M24" s="155">
        <f>SUM(M25:M26)</f>
        <v>57900</v>
      </c>
      <c r="N24" s="206"/>
    </row>
    <row r="25" spans="1:14" s="4" customFormat="1" ht="53.25" customHeight="1">
      <c r="A25" s="8"/>
      <c r="B25" s="10"/>
      <c r="C25" s="10">
        <v>2010</v>
      </c>
      <c r="D25" s="12" t="s">
        <v>32</v>
      </c>
      <c r="E25" s="113">
        <v>57000</v>
      </c>
      <c r="F25" s="151"/>
      <c r="G25" s="151"/>
      <c r="H25" s="151"/>
      <c r="I25" s="151"/>
      <c r="J25" s="151"/>
      <c r="K25" s="151"/>
      <c r="L25" s="151"/>
      <c r="M25" s="152">
        <f>E25+F25+G25+H25+I25+J25+K25+L25</f>
        <v>57000</v>
      </c>
      <c r="N25" s="207"/>
    </row>
    <row r="26" spans="1:14" s="4" customFormat="1" ht="53.25" customHeight="1">
      <c r="A26" s="8"/>
      <c r="B26" s="10"/>
      <c r="C26" s="10">
        <v>2360</v>
      </c>
      <c r="D26" s="12" t="s">
        <v>170</v>
      </c>
      <c r="E26" s="113">
        <v>900</v>
      </c>
      <c r="F26" s="151"/>
      <c r="G26" s="151"/>
      <c r="H26" s="151"/>
      <c r="I26" s="151"/>
      <c r="J26" s="151"/>
      <c r="K26" s="151"/>
      <c r="L26" s="151"/>
      <c r="M26" s="152">
        <f>E26+F26+G26+H26+I26+J26+K26+L26</f>
        <v>900</v>
      </c>
      <c r="N26" s="207"/>
    </row>
    <row r="27" spans="1:14" s="4" customFormat="1" ht="16.5" customHeight="1">
      <c r="A27" s="8"/>
      <c r="B27" s="8">
        <v>75023</v>
      </c>
      <c r="C27" s="8"/>
      <c r="D27" s="9" t="s">
        <v>33</v>
      </c>
      <c r="E27" s="121">
        <f>SUM(E28:E30)</f>
        <v>49160</v>
      </c>
      <c r="F27" s="120">
        <f>SUM(F28:F30)</f>
        <v>3000</v>
      </c>
      <c r="G27" s="120">
        <f aca="true" t="shared" si="9" ref="G27:L27">SUM(G28:G29)</f>
        <v>0</v>
      </c>
      <c r="H27" s="120">
        <f t="shared" si="9"/>
        <v>0</v>
      </c>
      <c r="I27" s="120">
        <f t="shared" si="9"/>
        <v>0</v>
      </c>
      <c r="J27" s="120">
        <f t="shared" si="9"/>
        <v>0</v>
      </c>
      <c r="K27" s="120">
        <f t="shared" si="9"/>
        <v>0</v>
      </c>
      <c r="L27" s="120">
        <f t="shared" si="9"/>
        <v>0</v>
      </c>
      <c r="M27" s="155">
        <f>SUM(M28:M30)</f>
        <v>52160</v>
      </c>
      <c r="N27" s="206"/>
    </row>
    <row r="28" spans="1:14" s="4" customFormat="1" ht="27.75" customHeight="1">
      <c r="A28" s="10"/>
      <c r="B28" s="10"/>
      <c r="C28" s="11" t="s">
        <v>218</v>
      </c>
      <c r="D28" s="12" t="s">
        <v>219</v>
      </c>
      <c r="E28" s="113">
        <v>3830</v>
      </c>
      <c r="F28" s="151"/>
      <c r="G28" s="151"/>
      <c r="H28" s="151"/>
      <c r="I28" s="151"/>
      <c r="J28" s="151"/>
      <c r="K28" s="151"/>
      <c r="L28" s="151"/>
      <c r="M28" s="152">
        <f>E28+F28+G28+H28+I28+J28+K28+L28</f>
        <v>3830</v>
      </c>
      <c r="N28" s="207"/>
    </row>
    <row r="29" spans="1:14" s="4" customFormat="1" ht="22.5">
      <c r="A29" s="10"/>
      <c r="B29" s="10"/>
      <c r="C29" s="11" t="s">
        <v>5</v>
      </c>
      <c r="D29" s="12" t="s">
        <v>6</v>
      </c>
      <c r="E29" s="113">
        <v>2330</v>
      </c>
      <c r="F29" s="151">
        <v>3000</v>
      </c>
      <c r="G29" s="151"/>
      <c r="H29" s="151"/>
      <c r="I29" s="151"/>
      <c r="J29" s="151"/>
      <c r="K29" s="151"/>
      <c r="L29" s="151"/>
      <c r="M29" s="152">
        <f>E29+F29+G29+H29+I29+J29+K29+L29</f>
        <v>5330</v>
      </c>
      <c r="N29" s="207" t="s">
        <v>351</v>
      </c>
    </row>
    <row r="30" spans="1:14" s="4" customFormat="1" ht="25.5">
      <c r="A30" s="10"/>
      <c r="B30" s="10"/>
      <c r="C30" s="11" t="s">
        <v>347</v>
      </c>
      <c r="D30" s="12" t="s">
        <v>348</v>
      </c>
      <c r="E30" s="113">
        <v>43000</v>
      </c>
      <c r="F30" s="151"/>
      <c r="G30" s="151"/>
      <c r="H30" s="151"/>
      <c r="I30" s="151"/>
      <c r="J30" s="151"/>
      <c r="K30" s="151"/>
      <c r="L30" s="151"/>
      <c r="M30" s="152">
        <f>E30+F30+G30+H30+I30+J30+K30+L30</f>
        <v>43000</v>
      </c>
      <c r="N30" s="207"/>
    </row>
    <row r="31" spans="1:14" s="4" customFormat="1" ht="42.75" customHeight="1" hidden="1">
      <c r="A31" s="6">
        <v>751</v>
      </c>
      <c r="B31" s="209"/>
      <c r="C31" s="209"/>
      <c r="D31" s="7" t="s">
        <v>220</v>
      </c>
      <c r="E31" s="107">
        <f>E32+E34+E36</f>
        <v>1104</v>
      </c>
      <c r="F31" s="153">
        <f>F32+F34+F36</f>
        <v>0</v>
      </c>
      <c r="G31" s="153">
        <f aca="true" t="shared" si="10" ref="G31:L31">G32+G34+G36</f>
        <v>0</v>
      </c>
      <c r="H31" s="153">
        <f t="shared" si="10"/>
        <v>0</v>
      </c>
      <c r="I31" s="153">
        <f t="shared" si="10"/>
        <v>0</v>
      </c>
      <c r="J31" s="153">
        <f t="shared" si="10"/>
        <v>0</v>
      </c>
      <c r="K31" s="153">
        <f t="shared" si="10"/>
        <v>0</v>
      </c>
      <c r="L31" s="153">
        <f t="shared" si="10"/>
        <v>0</v>
      </c>
      <c r="M31" s="107">
        <f>M32+M34+M36</f>
        <v>1104</v>
      </c>
      <c r="N31" s="205"/>
    </row>
    <row r="32" spans="1:14" s="118" customFormat="1" ht="28.5" customHeight="1" hidden="1">
      <c r="A32" s="13"/>
      <c r="B32" s="13">
        <v>75101</v>
      </c>
      <c r="C32" s="13"/>
      <c r="D32" s="109" t="s">
        <v>221</v>
      </c>
      <c r="E32" s="108">
        <f aca="true" t="shared" si="11" ref="E32:L32">E33</f>
        <v>1104</v>
      </c>
      <c r="F32" s="154">
        <f t="shared" si="11"/>
        <v>0</v>
      </c>
      <c r="G32" s="154">
        <f t="shared" si="11"/>
        <v>0</v>
      </c>
      <c r="H32" s="154">
        <f t="shared" si="11"/>
        <v>0</v>
      </c>
      <c r="I32" s="154">
        <f t="shared" si="11"/>
        <v>0</v>
      </c>
      <c r="J32" s="154">
        <f t="shared" si="11"/>
        <v>0</v>
      </c>
      <c r="K32" s="154">
        <f t="shared" si="11"/>
        <v>0</v>
      </c>
      <c r="L32" s="154">
        <f t="shared" si="11"/>
        <v>0</v>
      </c>
      <c r="M32" s="155">
        <f>M33</f>
        <v>1104</v>
      </c>
      <c r="N32" s="208"/>
    </row>
    <row r="33" spans="1:14" s="118" customFormat="1" ht="51" hidden="1">
      <c r="A33" s="13"/>
      <c r="B33" s="110"/>
      <c r="C33" s="10">
        <v>2010</v>
      </c>
      <c r="D33" s="12" t="s">
        <v>32</v>
      </c>
      <c r="E33" s="122">
        <v>1104</v>
      </c>
      <c r="F33" s="14"/>
      <c r="G33" s="14"/>
      <c r="H33" s="14"/>
      <c r="I33" s="14"/>
      <c r="J33" s="14"/>
      <c r="K33" s="14"/>
      <c r="L33" s="14"/>
      <c r="M33" s="152">
        <f>E33+F33+G33+H33+I33+J33+K33+L33</f>
        <v>1104</v>
      </c>
      <c r="N33" s="210"/>
    </row>
    <row r="34" spans="1:14" s="118" customFormat="1" ht="19.5" customHeight="1" hidden="1">
      <c r="A34" s="13"/>
      <c r="B34" s="111">
        <v>75107</v>
      </c>
      <c r="C34" s="10"/>
      <c r="D34" s="19" t="s">
        <v>222</v>
      </c>
      <c r="E34" s="108">
        <f aca="true" t="shared" si="12" ref="E34:M34">E35</f>
        <v>0</v>
      </c>
      <c r="F34" s="154">
        <f t="shared" si="12"/>
        <v>0</v>
      </c>
      <c r="G34" s="154">
        <f t="shared" si="12"/>
        <v>0</v>
      </c>
      <c r="H34" s="154">
        <f t="shared" si="12"/>
        <v>0</v>
      </c>
      <c r="I34" s="154">
        <f t="shared" si="12"/>
        <v>0</v>
      </c>
      <c r="J34" s="154">
        <f t="shared" si="12"/>
        <v>0</v>
      </c>
      <c r="K34" s="154">
        <f t="shared" si="12"/>
        <v>0</v>
      </c>
      <c r="L34" s="154">
        <f t="shared" si="12"/>
        <v>0</v>
      </c>
      <c r="M34" s="157">
        <f t="shared" si="12"/>
        <v>0</v>
      </c>
      <c r="N34" s="208"/>
    </row>
    <row r="35" spans="1:14" s="118" customFormat="1" ht="51" customHeight="1" hidden="1">
      <c r="A35" s="13"/>
      <c r="B35" s="110"/>
      <c r="C35" s="10">
        <v>2010</v>
      </c>
      <c r="D35" s="12" t="s">
        <v>32</v>
      </c>
      <c r="E35" s="122"/>
      <c r="F35" s="14"/>
      <c r="G35" s="14"/>
      <c r="H35" s="14"/>
      <c r="I35" s="14"/>
      <c r="J35" s="14"/>
      <c r="K35" s="14"/>
      <c r="L35" s="14"/>
      <c r="M35" s="152">
        <f>E35+F35+G35+H35+I35+J35+K35</f>
        <v>0</v>
      </c>
      <c r="N35" s="210"/>
    </row>
    <row r="36" spans="1:14" s="118" customFormat="1" ht="12.75" customHeight="1" hidden="1">
      <c r="A36" s="13"/>
      <c r="B36" s="111">
        <v>75108</v>
      </c>
      <c r="C36" s="10"/>
      <c r="D36" s="19" t="s">
        <v>113</v>
      </c>
      <c r="E36" s="108">
        <f aca="true" t="shared" si="13" ref="E36:M36">E37</f>
        <v>0</v>
      </c>
      <c r="F36" s="154">
        <f t="shared" si="13"/>
        <v>0</v>
      </c>
      <c r="G36" s="154">
        <f t="shared" si="13"/>
        <v>0</v>
      </c>
      <c r="H36" s="154">
        <f t="shared" si="13"/>
        <v>0</v>
      </c>
      <c r="I36" s="154">
        <f t="shared" si="13"/>
        <v>0</v>
      </c>
      <c r="J36" s="154">
        <f t="shared" si="13"/>
        <v>0</v>
      </c>
      <c r="K36" s="154">
        <f t="shared" si="13"/>
        <v>0</v>
      </c>
      <c r="L36" s="154">
        <f t="shared" si="13"/>
        <v>0</v>
      </c>
      <c r="M36" s="157">
        <f t="shared" si="13"/>
        <v>0</v>
      </c>
      <c r="N36" s="208"/>
    </row>
    <row r="37" spans="1:14" s="118" customFormat="1" ht="51" customHeight="1" hidden="1">
      <c r="A37" s="13"/>
      <c r="B37" s="110"/>
      <c r="C37" s="10">
        <v>2010</v>
      </c>
      <c r="D37" s="12" t="s">
        <v>32</v>
      </c>
      <c r="E37" s="122"/>
      <c r="F37" s="14"/>
      <c r="G37" s="14"/>
      <c r="H37" s="14"/>
      <c r="I37" s="14"/>
      <c r="J37" s="14"/>
      <c r="K37" s="14"/>
      <c r="L37" s="14"/>
      <c r="M37" s="152">
        <f>E37+F37+G37+H37+I37+J37+K37+L37</f>
        <v>0</v>
      </c>
      <c r="N37" s="210"/>
    </row>
    <row r="38" spans="1:14" s="4" customFormat="1" ht="25.5" customHeight="1" hidden="1">
      <c r="A38" s="6">
        <v>754</v>
      </c>
      <c r="B38" s="6"/>
      <c r="C38" s="6"/>
      <c r="D38" s="7" t="s">
        <v>78</v>
      </c>
      <c r="E38" s="107">
        <f aca="true" t="shared" si="14" ref="E38:M38">E39</f>
        <v>0</v>
      </c>
      <c r="F38" s="153">
        <f t="shared" si="14"/>
        <v>0</v>
      </c>
      <c r="G38" s="153">
        <f t="shared" si="14"/>
        <v>0</v>
      </c>
      <c r="H38" s="153">
        <f t="shared" si="14"/>
        <v>0</v>
      </c>
      <c r="I38" s="153">
        <f t="shared" si="14"/>
        <v>0</v>
      </c>
      <c r="J38" s="153">
        <f t="shared" si="14"/>
        <v>0</v>
      </c>
      <c r="K38" s="153">
        <f t="shared" si="14"/>
        <v>0</v>
      </c>
      <c r="L38" s="153">
        <f t="shared" si="14"/>
        <v>0</v>
      </c>
      <c r="M38" s="107">
        <f t="shared" si="14"/>
        <v>0</v>
      </c>
      <c r="N38" s="205"/>
    </row>
    <row r="39" spans="1:14" s="4" customFormat="1" ht="16.5" customHeight="1" hidden="1">
      <c r="A39" s="8"/>
      <c r="B39" s="8">
        <v>75414</v>
      </c>
      <c r="C39" s="8"/>
      <c r="D39" s="9" t="s">
        <v>81</v>
      </c>
      <c r="E39" s="121">
        <f aca="true" t="shared" si="15" ref="E39:M39">SUM(E40)</f>
        <v>0</v>
      </c>
      <c r="F39" s="120">
        <f t="shared" si="15"/>
        <v>0</v>
      </c>
      <c r="G39" s="120">
        <f t="shared" si="15"/>
        <v>0</v>
      </c>
      <c r="H39" s="120">
        <f t="shared" si="15"/>
        <v>0</v>
      </c>
      <c r="I39" s="120">
        <f t="shared" si="15"/>
        <v>0</v>
      </c>
      <c r="J39" s="120">
        <f t="shared" si="15"/>
        <v>0</v>
      </c>
      <c r="K39" s="120">
        <f t="shared" si="15"/>
        <v>0</v>
      </c>
      <c r="L39" s="120">
        <f t="shared" si="15"/>
        <v>0</v>
      </c>
      <c r="M39" s="155">
        <f t="shared" si="15"/>
        <v>0</v>
      </c>
      <c r="N39" s="206"/>
    </row>
    <row r="40" spans="1:14" s="4" customFormat="1" ht="60.75" customHeight="1" hidden="1">
      <c r="A40" s="8"/>
      <c r="B40" s="10"/>
      <c r="C40" s="10">
        <v>2010</v>
      </c>
      <c r="D40" s="12" t="s">
        <v>32</v>
      </c>
      <c r="E40" s="113"/>
      <c r="F40" s="151"/>
      <c r="G40" s="151"/>
      <c r="H40" s="151"/>
      <c r="I40" s="151"/>
      <c r="J40" s="151"/>
      <c r="K40" s="151"/>
      <c r="L40" s="151"/>
      <c r="M40" s="152">
        <f>E40+F40+G40+H40+I40+J40+K40+L40</f>
        <v>0</v>
      </c>
      <c r="N40" s="207"/>
    </row>
    <row r="41" spans="1:14" s="4" customFormat="1" ht="57" customHeight="1">
      <c r="A41" s="6">
        <v>756</v>
      </c>
      <c r="B41" s="6"/>
      <c r="C41" s="6"/>
      <c r="D41" s="7" t="s">
        <v>114</v>
      </c>
      <c r="E41" s="107">
        <f>E42+E53+E62+E68+E45</f>
        <v>8631736</v>
      </c>
      <c r="F41" s="153">
        <f>F42+F53+F62+F68+F45</f>
        <v>7500</v>
      </c>
      <c r="G41" s="153">
        <f aca="true" t="shared" si="16" ref="G41:L41">G42+G53+G62+G68+G45</f>
        <v>0</v>
      </c>
      <c r="H41" s="153">
        <f t="shared" si="16"/>
        <v>0</v>
      </c>
      <c r="I41" s="153">
        <f t="shared" si="16"/>
        <v>0</v>
      </c>
      <c r="J41" s="153">
        <f t="shared" si="16"/>
        <v>0</v>
      </c>
      <c r="K41" s="153">
        <f t="shared" si="16"/>
        <v>0</v>
      </c>
      <c r="L41" s="153">
        <f t="shared" si="16"/>
        <v>0</v>
      </c>
      <c r="M41" s="107">
        <f>M42+M53+M62+M68+M45</f>
        <v>8639236</v>
      </c>
      <c r="N41" s="205"/>
    </row>
    <row r="42" spans="1:14" s="118" customFormat="1" ht="25.5">
      <c r="A42" s="13"/>
      <c r="B42" s="13">
        <v>75601</v>
      </c>
      <c r="C42" s="13"/>
      <c r="D42" s="109" t="s">
        <v>115</v>
      </c>
      <c r="E42" s="108">
        <f>E43+E44</f>
        <v>4100</v>
      </c>
      <c r="F42" s="154">
        <f>F43+F44</f>
        <v>0</v>
      </c>
      <c r="G42" s="154">
        <f aca="true" t="shared" si="17" ref="G42:L42">G43+G44</f>
        <v>0</v>
      </c>
      <c r="H42" s="154">
        <f t="shared" si="17"/>
        <v>0</v>
      </c>
      <c r="I42" s="154">
        <f t="shared" si="17"/>
        <v>0</v>
      </c>
      <c r="J42" s="154">
        <f t="shared" si="17"/>
        <v>0</v>
      </c>
      <c r="K42" s="154">
        <f t="shared" si="17"/>
        <v>0</v>
      </c>
      <c r="L42" s="154">
        <f t="shared" si="17"/>
        <v>0</v>
      </c>
      <c r="M42" s="155">
        <f>SUM(M43:M44)</f>
        <v>4100</v>
      </c>
      <c r="N42" s="208"/>
    </row>
    <row r="43" spans="1:14" s="4" customFormat="1" ht="43.5" customHeight="1">
      <c r="A43" s="8"/>
      <c r="B43" s="10"/>
      <c r="C43" s="11" t="s">
        <v>116</v>
      </c>
      <c r="D43" s="12" t="s">
        <v>117</v>
      </c>
      <c r="E43" s="113">
        <v>4000</v>
      </c>
      <c r="F43" s="151"/>
      <c r="G43" s="151"/>
      <c r="H43" s="151"/>
      <c r="I43" s="151"/>
      <c r="J43" s="151"/>
      <c r="K43" s="151"/>
      <c r="L43" s="151"/>
      <c r="M43" s="152">
        <f aca="true" t="shared" si="18" ref="M43:M70">E43+F43+G43+H43+I43+J43+K43+L43</f>
        <v>4000</v>
      </c>
      <c r="N43" s="207"/>
    </row>
    <row r="44" spans="1:14" s="4" customFormat="1" ht="31.5" customHeight="1">
      <c r="A44" s="8"/>
      <c r="B44" s="10"/>
      <c r="C44" s="11" t="s">
        <v>111</v>
      </c>
      <c r="D44" s="12" t="s">
        <v>112</v>
      </c>
      <c r="E44" s="113">
        <v>100</v>
      </c>
      <c r="F44" s="151"/>
      <c r="G44" s="151"/>
      <c r="H44" s="151"/>
      <c r="I44" s="151"/>
      <c r="J44" s="151"/>
      <c r="K44" s="151"/>
      <c r="L44" s="151"/>
      <c r="M44" s="152">
        <f t="shared" si="18"/>
        <v>100</v>
      </c>
      <c r="N44" s="207"/>
    </row>
    <row r="45" spans="1:14" s="4" customFormat="1" ht="63.75">
      <c r="A45" s="8"/>
      <c r="B45" s="8">
        <v>75615</v>
      </c>
      <c r="C45" s="8"/>
      <c r="D45" s="9" t="s">
        <v>118</v>
      </c>
      <c r="E45" s="121">
        <f>SUM(E46:E52)</f>
        <v>2255235</v>
      </c>
      <c r="F45" s="120">
        <f>SUM(F46:F51)</f>
        <v>0</v>
      </c>
      <c r="G45" s="120">
        <f aca="true" t="shared" si="19" ref="G45:L45">SUM(G46:G51)</f>
        <v>0</v>
      </c>
      <c r="H45" s="120">
        <f t="shared" si="19"/>
        <v>0</v>
      </c>
      <c r="I45" s="120">
        <f t="shared" si="19"/>
        <v>0</v>
      </c>
      <c r="J45" s="120">
        <f t="shared" si="19"/>
        <v>0</v>
      </c>
      <c r="K45" s="120">
        <f t="shared" si="19"/>
        <v>0</v>
      </c>
      <c r="L45" s="120">
        <f t="shared" si="19"/>
        <v>0</v>
      </c>
      <c r="M45" s="157">
        <f>SUM(M46:M52)</f>
        <v>2255235</v>
      </c>
      <c r="N45" s="206"/>
    </row>
    <row r="46" spans="1:14" s="4" customFormat="1" ht="12.75">
      <c r="A46" s="8"/>
      <c r="B46" s="10"/>
      <c r="C46" s="11" t="s">
        <v>119</v>
      </c>
      <c r="D46" s="12" t="s">
        <v>120</v>
      </c>
      <c r="E46" s="113">
        <v>1758539</v>
      </c>
      <c r="F46" s="151"/>
      <c r="G46" s="151"/>
      <c r="H46" s="151"/>
      <c r="I46" s="151"/>
      <c r="J46" s="151"/>
      <c r="K46" s="151"/>
      <c r="L46" s="151"/>
      <c r="M46" s="152">
        <f t="shared" si="18"/>
        <v>1758539</v>
      </c>
      <c r="N46" s="207"/>
    </row>
    <row r="47" spans="1:14" s="4" customFormat="1" ht="12.75">
      <c r="A47" s="8"/>
      <c r="B47" s="10"/>
      <c r="C47" s="11" t="s">
        <v>121</v>
      </c>
      <c r="D47" s="12" t="s">
        <v>122</v>
      </c>
      <c r="E47" s="113">
        <f>361591+60000+10831</f>
        <v>432422</v>
      </c>
      <c r="F47" s="151"/>
      <c r="G47" s="151"/>
      <c r="H47" s="151"/>
      <c r="I47" s="151"/>
      <c r="J47" s="151"/>
      <c r="K47" s="151"/>
      <c r="L47" s="151"/>
      <c r="M47" s="152">
        <f t="shared" si="18"/>
        <v>432422</v>
      </c>
      <c r="N47" s="207"/>
    </row>
    <row r="48" spans="1:14" s="4" customFormat="1" ht="12.75">
      <c r="A48" s="8"/>
      <c r="B48" s="10"/>
      <c r="C48" s="11" t="s">
        <v>123</v>
      </c>
      <c r="D48" s="12" t="s">
        <v>124</v>
      </c>
      <c r="E48" s="113">
        <v>34130</v>
      </c>
      <c r="F48" s="151"/>
      <c r="G48" s="151"/>
      <c r="H48" s="151"/>
      <c r="I48" s="151"/>
      <c r="J48" s="151"/>
      <c r="K48" s="151"/>
      <c r="L48" s="151"/>
      <c r="M48" s="152">
        <f t="shared" si="18"/>
        <v>34130</v>
      </c>
      <c r="N48" s="207"/>
    </row>
    <row r="49" spans="1:14" s="4" customFormat="1" ht="12.75">
      <c r="A49" s="8"/>
      <c r="B49" s="10"/>
      <c r="C49" s="11" t="s">
        <v>125</v>
      </c>
      <c r="D49" s="12" t="s">
        <v>126</v>
      </c>
      <c r="E49" s="113">
        <v>20810</v>
      </c>
      <c r="F49" s="151"/>
      <c r="G49" s="151"/>
      <c r="H49" s="151"/>
      <c r="I49" s="151"/>
      <c r="J49" s="151"/>
      <c r="K49" s="151"/>
      <c r="L49" s="151"/>
      <c r="M49" s="152">
        <f t="shared" si="18"/>
        <v>20810</v>
      </c>
      <c r="N49" s="207"/>
    </row>
    <row r="50" spans="1:14" s="4" customFormat="1" ht="12.75">
      <c r="A50" s="8"/>
      <c r="B50" s="10"/>
      <c r="C50" s="11" t="s">
        <v>127</v>
      </c>
      <c r="D50" s="12" t="s">
        <v>128</v>
      </c>
      <c r="E50" s="113">
        <v>5000</v>
      </c>
      <c r="F50" s="151"/>
      <c r="G50" s="151"/>
      <c r="H50" s="151"/>
      <c r="I50" s="151"/>
      <c r="J50" s="151"/>
      <c r="K50" s="151"/>
      <c r="L50" s="151"/>
      <c r="M50" s="152">
        <f t="shared" si="18"/>
        <v>5000</v>
      </c>
      <c r="N50" s="207"/>
    </row>
    <row r="51" spans="1:14" s="4" customFormat="1" ht="25.5">
      <c r="A51" s="8"/>
      <c r="B51" s="10"/>
      <c r="C51" s="11" t="s">
        <v>111</v>
      </c>
      <c r="D51" s="12" t="s">
        <v>112</v>
      </c>
      <c r="E51" s="113">
        <v>3000</v>
      </c>
      <c r="F51" s="151"/>
      <c r="G51" s="151"/>
      <c r="H51" s="151"/>
      <c r="I51" s="151"/>
      <c r="J51" s="151"/>
      <c r="K51" s="151"/>
      <c r="L51" s="151"/>
      <c r="M51" s="152">
        <f t="shared" si="18"/>
        <v>3000</v>
      </c>
      <c r="N51" s="207"/>
    </row>
    <row r="52" spans="1:14" s="4" customFormat="1" ht="25.5">
      <c r="A52" s="8"/>
      <c r="B52" s="10"/>
      <c r="C52" s="11">
        <v>2680</v>
      </c>
      <c r="D52" s="12" t="s">
        <v>334</v>
      </c>
      <c r="E52" s="113">
        <v>1334</v>
      </c>
      <c r="F52" s="151"/>
      <c r="G52" s="151"/>
      <c r="H52" s="151"/>
      <c r="I52" s="151"/>
      <c r="J52" s="151"/>
      <c r="K52" s="151"/>
      <c r="L52" s="151"/>
      <c r="M52" s="152">
        <f t="shared" si="18"/>
        <v>1334</v>
      </c>
      <c r="N52" s="207"/>
    </row>
    <row r="53" spans="1:14" s="4" customFormat="1" ht="63.75">
      <c r="A53" s="8"/>
      <c r="B53" s="8">
        <v>75616</v>
      </c>
      <c r="C53" s="8"/>
      <c r="D53" s="9" t="s">
        <v>129</v>
      </c>
      <c r="E53" s="121">
        <f>SUM(E54:E61)</f>
        <v>1998246</v>
      </c>
      <c r="F53" s="120">
        <f>SUM(F54:F61)</f>
        <v>7500</v>
      </c>
      <c r="G53" s="120">
        <f aca="true" t="shared" si="20" ref="G53:L53">SUM(G54:G61)</f>
        <v>0</v>
      </c>
      <c r="H53" s="120">
        <f t="shared" si="20"/>
        <v>0</v>
      </c>
      <c r="I53" s="120">
        <f t="shared" si="20"/>
        <v>0</v>
      </c>
      <c r="J53" s="120">
        <f t="shared" si="20"/>
        <v>0</v>
      </c>
      <c r="K53" s="120">
        <f t="shared" si="20"/>
        <v>0</v>
      </c>
      <c r="L53" s="120">
        <f t="shared" si="20"/>
        <v>0</v>
      </c>
      <c r="M53" s="155">
        <f>SUM(M54:M61)</f>
        <v>2005746</v>
      </c>
      <c r="N53" s="206"/>
    </row>
    <row r="54" spans="1:14" s="4" customFormat="1" ht="12.75">
      <c r="A54" s="8"/>
      <c r="B54" s="8"/>
      <c r="C54" s="11" t="s">
        <v>119</v>
      </c>
      <c r="D54" s="12" t="s">
        <v>120</v>
      </c>
      <c r="E54" s="113">
        <v>912379</v>
      </c>
      <c r="F54" s="151"/>
      <c r="G54" s="151"/>
      <c r="H54" s="151"/>
      <c r="I54" s="151"/>
      <c r="J54" s="151"/>
      <c r="K54" s="151"/>
      <c r="L54" s="151"/>
      <c r="M54" s="152">
        <f t="shared" si="18"/>
        <v>912379</v>
      </c>
      <c r="N54" s="207"/>
    </row>
    <row r="55" spans="1:14" s="4" customFormat="1" ht="12.75">
      <c r="A55" s="8"/>
      <c r="B55" s="8"/>
      <c r="C55" s="11" t="s">
        <v>121</v>
      </c>
      <c r="D55" s="12" t="s">
        <v>122</v>
      </c>
      <c r="E55" s="113">
        <f>541372+19363</f>
        <v>560735</v>
      </c>
      <c r="F55" s="151"/>
      <c r="G55" s="151"/>
      <c r="H55" s="151"/>
      <c r="I55" s="151"/>
      <c r="J55" s="151"/>
      <c r="K55" s="151"/>
      <c r="L55" s="151"/>
      <c r="M55" s="152">
        <f t="shared" si="18"/>
        <v>560735</v>
      </c>
      <c r="N55" s="207"/>
    </row>
    <row r="56" spans="1:14" s="4" customFormat="1" ht="12.75">
      <c r="A56" s="8"/>
      <c r="B56" s="8"/>
      <c r="C56" s="11" t="s">
        <v>123</v>
      </c>
      <c r="D56" s="12" t="s">
        <v>124</v>
      </c>
      <c r="E56" s="113">
        <v>1512</v>
      </c>
      <c r="F56" s="151"/>
      <c r="G56" s="151"/>
      <c r="H56" s="151"/>
      <c r="I56" s="151"/>
      <c r="J56" s="151"/>
      <c r="K56" s="151"/>
      <c r="L56" s="151"/>
      <c r="M56" s="152">
        <f t="shared" si="18"/>
        <v>1512</v>
      </c>
      <c r="N56" s="207"/>
    </row>
    <row r="57" spans="1:14" s="4" customFormat="1" ht="22.5">
      <c r="A57" s="8"/>
      <c r="B57" s="8"/>
      <c r="C57" s="11" t="s">
        <v>125</v>
      </c>
      <c r="D57" s="12" t="s">
        <v>126</v>
      </c>
      <c r="E57" s="113">
        <v>88620</v>
      </c>
      <c r="F57" s="151">
        <v>5500</v>
      </c>
      <c r="G57" s="151"/>
      <c r="H57" s="151"/>
      <c r="I57" s="151"/>
      <c r="J57" s="151"/>
      <c r="K57" s="151"/>
      <c r="L57" s="151"/>
      <c r="M57" s="152">
        <f t="shared" si="18"/>
        <v>94120</v>
      </c>
      <c r="N57" s="207" t="s">
        <v>352</v>
      </c>
    </row>
    <row r="58" spans="1:14" s="4" customFormat="1" ht="15" customHeight="1">
      <c r="A58" s="8"/>
      <c r="B58" s="10"/>
      <c r="C58" s="11" t="s">
        <v>130</v>
      </c>
      <c r="D58" s="12" t="s">
        <v>131</v>
      </c>
      <c r="E58" s="113">
        <v>7000</v>
      </c>
      <c r="F58" s="151"/>
      <c r="G58" s="151"/>
      <c r="H58" s="151"/>
      <c r="I58" s="151"/>
      <c r="J58" s="151"/>
      <c r="K58" s="151"/>
      <c r="L58" s="151"/>
      <c r="M58" s="152">
        <f t="shared" si="18"/>
        <v>7000</v>
      </c>
      <c r="N58" s="207"/>
    </row>
    <row r="59" spans="1:14" s="4" customFormat="1" ht="12.75">
      <c r="A59" s="8"/>
      <c r="B59" s="10"/>
      <c r="C59" s="11" t="s">
        <v>132</v>
      </c>
      <c r="D59" s="12" t="s">
        <v>133</v>
      </c>
      <c r="E59" s="113">
        <v>20000</v>
      </c>
      <c r="F59" s="151"/>
      <c r="G59" s="151"/>
      <c r="H59" s="151"/>
      <c r="I59" s="151"/>
      <c r="J59" s="151"/>
      <c r="K59" s="151"/>
      <c r="L59" s="151"/>
      <c r="M59" s="152">
        <f t="shared" si="18"/>
        <v>20000</v>
      </c>
      <c r="N59" s="207"/>
    </row>
    <row r="60" spans="1:14" s="4" customFormat="1" ht="12.75">
      <c r="A60" s="8"/>
      <c r="B60" s="10"/>
      <c r="C60" s="11" t="s">
        <v>127</v>
      </c>
      <c r="D60" s="12" t="s">
        <v>128</v>
      </c>
      <c r="E60" s="113">
        <v>400000</v>
      </c>
      <c r="F60" s="151"/>
      <c r="G60" s="151"/>
      <c r="H60" s="151"/>
      <c r="I60" s="151"/>
      <c r="J60" s="151"/>
      <c r="K60" s="151"/>
      <c r="L60" s="151"/>
      <c r="M60" s="152">
        <f t="shared" si="18"/>
        <v>400000</v>
      </c>
      <c r="N60" s="207"/>
    </row>
    <row r="61" spans="1:14" s="4" customFormat="1" ht="25.5">
      <c r="A61" s="8"/>
      <c r="B61" s="10"/>
      <c r="C61" s="11" t="s">
        <v>111</v>
      </c>
      <c r="D61" s="12" t="s">
        <v>112</v>
      </c>
      <c r="E61" s="113">
        <v>8000</v>
      </c>
      <c r="F61" s="151">
        <v>2000</v>
      </c>
      <c r="G61" s="151"/>
      <c r="H61" s="151"/>
      <c r="I61" s="151"/>
      <c r="J61" s="151"/>
      <c r="K61" s="151"/>
      <c r="L61" s="151"/>
      <c r="M61" s="152">
        <f t="shared" si="18"/>
        <v>10000</v>
      </c>
      <c r="N61" s="145" t="s">
        <v>340</v>
      </c>
    </row>
    <row r="62" spans="1:14" s="4" customFormat="1" ht="38.25">
      <c r="A62" s="8"/>
      <c r="B62" s="8">
        <v>75618</v>
      </c>
      <c r="C62" s="8"/>
      <c r="D62" s="9" t="s">
        <v>134</v>
      </c>
      <c r="E62" s="121">
        <f>SUM(E63:E67)</f>
        <v>1011023</v>
      </c>
      <c r="F62" s="120">
        <f>SUM(F63:F67)</f>
        <v>0</v>
      </c>
      <c r="G62" s="120">
        <f aca="true" t="shared" si="21" ref="G62:L62">SUM(G63:G67)</f>
        <v>0</v>
      </c>
      <c r="H62" s="120">
        <f t="shared" si="21"/>
        <v>0</v>
      </c>
      <c r="I62" s="120">
        <f t="shared" si="21"/>
        <v>0</v>
      </c>
      <c r="J62" s="120">
        <f t="shared" si="21"/>
        <v>0</v>
      </c>
      <c r="K62" s="120">
        <f t="shared" si="21"/>
        <v>0</v>
      </c>
      <c r="L62" s="120">
        <f t="shared" si="21"/>
        <v>0</v>
      </c>
      <c r="M62" s="155">
        <f>SUM(M63:M67)</f>
        <v>1011023</v>
      </c>
      <c r="N62" s="206"/>
    </row>
    <row r="63" spans="1:14" s="4" customFormat="1" ht="18" customHeight="1">
      <c r="A63" s="8"/>
      <c r="B63" s="8"/>
      <c r="C63" s="11" t="s">
        <v>135</v>
      </c>
      <c r="D63" s="12" t="s">
        <v>136</v>
      </c>
      <c r="E63" s="113">
        <v>35000</v>
      </c>
      <c r="F63" s="151"/>
      <c r="G63" s="151"/>
      <c r="H63" s="151"/>
      <c r="I63" s="151"/>
      <c r="J63" s="151"/>
      <c r="K63" s="151"/>
      <c r="L63" s="151"/>
      <c r="M63" s="152">
        <f t="shared" si="18"/>
        <v>35000</v>
      </c>
      <c r="N63" s="207"/>
    </row>
    <row r="64" spans="1:14" s="4" customFormat="1" ht="18.75" customHeight="1">
      <c r="A64" s="8"/>
      <c r="B64" s="8"/>
      <c r="C64" s="11" t="s">
        <v>137</v>
      </c>
      <c r="D64" s="12" t="s">
        <v>138</v>
      </c>
      <c r="E64" s="113">
        <v>45000</v>
      </c>
      <c r="F64" s="151"/>
      <c r="G64" s="151"/>
      <c r="H64" s="151"/>
      <c r="I64" s="151"/>
      <c r="J64" s="151"/>
      <c r="K64" s="151"/>
      <c r="L64" s="151"/>
      <c r="M64" s="152">
        <f t="shared" si="18"/>
        <v>45000</v>
      </c>
      <c r="N64" s="207"/>
    </row>
    <row r="65" spans="1:14" s="4" customFormat="1" ht="25.5">
      <c r="A65" s="8"/>
      <c r="B65" s="8"/>
      <c r="C65" s="11" t="s">
        <v>139</v>
      </c>
      <c r="D65" s="12" t="s">
        <v>140</v>
      </c>
      <c r="E65" s="113">
        <v>91500</v>
      </c>
      <c r="F65" s="151"/>
      <c r="G65" s="151"/>
      <c r="H65" s="151"/>
      <c r="I65" s="151"/>
      <c r="J65" s="151"/>
      <c r="K65" s="151"/>
      <c r="L65" s="151"/>
      <c r="M65" s="152">
        <f t="shared" si="18"/>
        <v>91500</v>
      </c>
      <c r="N65" s="207"/>
    </row>
    <row r="66" spans="1:14" s="4" customFormat="1" ht="51">
      <c r="A66" s="8"/>
      <c r="B66" s="8"/>
      <c r="C66" s="11" t="s">
        <v>141</v>
      </c>
      <c r="D66" s="12" t="s">
        <v>142</v>
      </c>
      <c r="E66" s="113">
        <v>812523</v>
      </c>
      <c r="F66" s="151"/>
      <c r="G66" s="151"/>
      <c r="H66" s="151"/>
      <c r="I66" s="151"/>
      <c r="J66" s="151"/>
      <c r="K66" s="151"/>
      <c r="L66" s="151"/>
      <c r="M66" s="152">
        <f t="shared" si="18"/>
        <v>812523</v>
      </c>
      <c r="N66" s="207"/>
    </row>
    <row r="67" spans="1:14" s="4" customFormat="1" ht="25.5">
      <c r="A67" s="8"/>
      <c r="B67" s="10"/>
      <c r="C67" s="11" t="s">
        <v>111</v>
      </c>
      <c r="D67" s="12" t="s">
        <v>112</v>
      </c>
      <c r="E67" s="113">
        <v>27000</v>
      </c>
      <c r="F67" s="151"/>
      <c r="G67" s="151"/>
      <c r="H67" s="151"/>
      <c r="I67" s="151"/>
      <c r="J67" s="151"/>
      <c r="K67" s="151"/>
      <c r="L67" s="151"/>
      <c r="M67" s="152">
        <f t="shared" si="18"/>
        <v>27000</v>
      </c>
      <c r="N67" s="145"/>
    </row>
    <row r="68" spans="1:14" s="4" customFormat="1" ht="27" customHeight="1">
      <c r="A68" s="8"/>
      <c r="B68" s="8">
        <v>75621</v>
      </c>
      <c r="C68" s="8"/>
      <c r="D68" s="9" t="s">
        <v>143</v>
      </c>
      <c r="E68" s="121">
        <f>SUM(E69:E70)</f>
        <v>3363132</v>
      </c>
      <c r="F68" s="120">
        <f>SUM(F69:F70)</f>
        <v>0</v>
      </c>
      <c r="G68" s="120">
        <f aca="true" t="shared" si="22" ref="G68:L68">SUM(G69:G70)</f>
        <v>0</v>
      </c>
      <c r="H68" s="120">
        <f t="shared" si="22"/>
        <v>0</v>
      </c>
      <c r="I68" s="120">
        <f t="shared" si="22"/>
        <v>0</v>
      </c>
      <c r="J68" s="120">
        <f t="shared" si="22"/>
        <v>0</v>
      </c>
      <c r="K68" s="120">
        <f t="shared" si="22"/>
        <v>0</v>
      </c>
      <c r="L68" s="120">
        <f t="shared" si="22"/>
        <v>0</v>
      </c>
      <c r="M68" s="155">
        <f>SUM(M69:M70)</f>
        <v>3363132</v>
      </c>
      <c r="N68" s="206"/>
    </row>
    <row r="69" spans="1:14" s="4" customFormat="1" ht="12.75">
      <c r="A69" s="8"/>
      <c r="B69" s="10"/>
      <c r="C69" s="11" t="s">
        <v>144</v>
      </c>
      <c r="D69" s="12" t="s">
        <v>145</v>
      </c>
      <c r="E69" s="113">
        <v>2863132</v>
      </c>
      <c r="F69" s="151"/>
      <c r="G69" s="151"/>
      <c r="H69" s="151"/>
      <c r="I69" s="151"/>
      <c r="J69" s="151"/>
      <c r="K69" s="151"/>
      <c r="L69" s="151"/>
      <c r="M69" s="152">
        <f t="shared" si="18"/>
        <v>2863132</v>
      </c>
      <c r="N69" s="207"/>
    </row>
    <row r="70" spans="1:14" s="4" customFormat="1" ht="12.75">
      <c r="A70" s="8"/>
      <c r="B70" s="10"/>
      <c r="C70" s="11" t="s">
        <v>146</v>
      </c>
      <c r="D70" s="12" t="s">
        <v>147</v>
      </c>
      <c r="E70" s="113">
        <v>500000</v>
      </c>
      <c r="F70" s="151"/>
      <c r="G70" s="151"/>
      <c r="H70" s="151"/>
      <c r="I70" s="151"/>
      <c r="J70" s="151"/>
      <c r="K70" s="151"/>
      <c r="L70" s="151"/>
      <c r="M70" s="152">
        <f t="shared" si="18"/>
        <v>500000</v>
      </c>
      <c r="N70" s="207"/>
    </row>
    <row r="71" spans="1:14" s="4" customFormat="1" ht="12.75" hidden="1">
      <c r="A71" s="6">
        <v>758</v>
      </c>
      <c r="B71" s="6"/>
      <c r="C71" s="6"/>
      <c r="D71" s="7" t="s">
        <v>34</v>
      </c>
      <c r="E71" s="107">
        <f>E72+E74+E76+E79</f>
        <v>5565986</v>
      </c>
      <c r="F71" s="153">
        <f>F72+F74+F76+F79</f>
        <v>0</v>
      </c>
      <c r="G71" s="153">
        <f aca="true" t="shared" si="23" ref="G71:L71">G72+G74+G76+G79</f>
        <v>0</v>
      </c>
      <c r="H71" s="153">
        <f t="shared" si="23"/>
        <v>0</v>
      </c>
      <c r="I71" s="153">
        <f t="shared" si="23"/>
        <v>0</v>
      </c>
      <c r="J71" s="153">
        <f t="shared" si="23"/>
        <v>0</v>
      </c>
      <c r="K71" s="153">
        <f t="shared" si="23"/>
        <v>0</v>
      </c>
      <c r="L71" s="153">
        <f t="shared" si="23"/>
        <v>0</v>
      </c>
      <c r="M71" s="107">
        <f>M72+M74+M76+M79</f>
        <v>5565986</v>
      </c>
      <c r="N71" s="205"/>
    </row>
    <row r="72" spans="1:14" s="4" customFormat="1" ht="25.5" hidden="1">
      <c r="A72" s="8"/>
      <c r="B72" s="8">
        <v>75801</v>
      </c>
      <c r="C72" s="8"/>
      <c r="D72" s="9" t="s">
        <v>171</v>
      </c>
      <c r="E72" s="121">
        <f aca="true" t="shared" si="24" ref="E72:M72">E73</f>
        <v>4681441</v>
      </c>
      <c r="F72" s="120">
        <f t="shared" si="24"/>
        <v>0</v>
      </c>
      <c r="G72" s="120">
        <f t="shared" si="24"/>
        <v>0</v>
      </c>
      <c r="H72" s="120">
        <f t="shared" si="24"/>
        <v>0</v>
      </c>
      <c r="I72" s="120">
        <f t="shared" si="24"/>
        <v>0</v>
      </c>
      <c r="J72" s="120">
        <f t="shared" si="24"/>
        <v>0</v>
      </c>
      <c r="K72" s="120">
        <f t="shared" si="24"/>
        <v>0</v>
      </c>
      <c r="L72" s="120">
        <f t="shared" si="24"/>
        <v>0</v>
      </c>
      <c r="M72" s="155">
        <f t="shared" si="24"/>
        <v>4681441</v>
      </c>
      <c r="N72" s="206"/>
    </row>
    <row r="73" spans="1:14" s="4" customFormat="1" ht="12.75" hidden="1">
      <c r="A73" s="8"/>
      <c r="B73" s="10"/>
      <c r="C73" s="10">
        <v>2920</v>
      </c>
      <c r="D73" s="12" t="s">
        <v>172</v>
      </c>
      <c r="E73" s="113">
        <v>4681441</v>
      </c>
      <c r="F73" s="151"/>
      <c r="G73" s="151"/>
      <c r="H73" s="151"/>
      <c r="I73" s="151"/>
      <c r="J73" s="151"/>
      <c r="K73" s="151"/>
      <c r="L73" s="151"/>
      <c r="M73" s="152">
        <f aca="true" t="shared" si="25" ref="M73:M80">E73+F73+G73+H73+I73+J73+K73+L73</f>
        <v>4681441</v>
      </c>
      <c r="N73" s="207"/>
    </row>
    <row r="74" spans="1:14" s="4" customFormat="1" ht="28.5" customHeight="1" hidden="1">
      <c r="A74" s="8"/>
      <c r="B74" s="8">
        <v>75807</v>
      </c>
      <c r="C74" s="8"/>
      <c r="D74" s="9" t="s">
        <v>173</v>
      </c>
      <c r="E74" s="121">
        <f aca="true" t="shared" si="26" ref="E74:M74">E75</f>
        <v>666122</v>
      </c>
      <c r="F74" s="120">
        <f t="shared" si="26"/>
        <v>0</v>
      </c>
      <c r="G74" s="120">
        <f t="shared" si="26"/>
        <v>0</v>
      </c>
      <c r="H74" s="120">
        <f t="shared" si="26"/>
        <v>0</v>
      </c>
      <c r="I74" s="120">
        <f t="shared" si="26"/>
        <v>0</v>
      </c>
      <c r="J74" s="120">
        <f t="shared" si="26"/>
        <v>0</v>
      </c>
      <c r="K74" s="120">
        <f t="shared" si="26"/>
        <v>0</v>
      </c>
      <c r="L74" s="120">
        <f t="shared" si="26"/>
        <v>0</v>
      </c>
      <c r="M74" s="155">
        <f t="shared" si="26"/>
        <v>666122</v>
      </c>
      <c r="N74" s="206"/>
    </row>
    <row r="75" spans="1:14" s="4" customFormat="1" ht="26.25" customHeight="1" hidden="1">
      <c r="A75" s="8"/>
      <c r="B75" s="10"/>
      <c r="C75" s="10">
        <v>2920</v>
      </c>
      <c r="D75" s="12" t="s">
        <v>172</v>
      </c>
      <c r="E75" s="113">
        <v>666122</v>
      </c>
      <c r="F75" s="151"/>
      <c r="G75" s="151"/>
      <c r="H75" s="151"/>
      <c r="I75" s="151"/>
      <c r="J75" s="151"/>
      <c r="K75" s="151"/>
      <c r="L75" s="151"/>
      <c r="M75" s="152">
        <f t="shared" si="25"/>
        <v>666122</v>
      </c>
      <c r="N75" s="207"/>
    </row>
    <row r="76" spans="1:14" s="127" customFormat="1" ht="16.5" customHeight="1" hidden="1">
      <c r="A76" s="8"/>
      <c r="B76" s="8">
        <v>75814</v>
      </c>
      <c r="C76" s="8"/>
      <c r="D76" s="9" t="s">
        <v>174</v>
      </c>
      <c r="E76" s="121">
        <f aca="true" t="shared" si="27" ref="E76:L76">E77</f>
        <v>140000</v>
      </c>
      <c r="F76" s="120">
        <f t="shared" si="27"/>
        <v>0</v>
      </c>
      <c r="G76" s="120">
        <f t="shared" si="27"/>
        <v>0</v>
      </c>
      <c r="H76" s="120">
        <f t="shared" si="27"/>
        <v>0</v>
      </c>
      <c r="I76" s="120">
        <f t="shared" si="27"/>
        <v>0</v>
      </c>
      <c r="J76" s="120">
        <f t="shared" si="27"/>
        <v>0</v>
      </c>
      <c r="K76" s="120">
        <f t="shared" si="27"/>
        <v>0</v>
      </c>
      <c r="L76" s="120">
        <f t="shared" si="27"/>
        <v>0</v>
      </c>
      <c r="M76" s="155">
        <f>M77+M78</f>
        <v>140000</v>
      </c>
      <c r="N76" s="206"/>
    </row>
    <row r="77" spans="1:14" s="4" customFormat="1" ht="12.75" hidden="1">
      <c r="A77" s="8"/>
      <c r="B77" s="10"/>
      <c r="C77" s="11" t="s">
        <v>29</v>
      </c>
      <c r="D77" s="12" t="s">
        <v>30</v>
      </c>
      <c r="E77" s="113">
        <v>140000</v>
      </c>
      <c r="F77" s="151"/>
      <c r="G77" s="151"/>
      <c r="H77" s="151"/>
      <c r="I77" s="151"/>
      <c r="J77" s="151"/>
      <c r="K77" s="151"/>
      <c r="L77" s="151"/>
      <c r="M77" s="152">
        <f t="shared" si="25"/>
        <v>140000</v>
      </c>
      <c r="N77" s="207"/>
    </row>
    <row r="78" spans="1:14" s="4" customFormat="1" ht="25.5" customHeight="1" hidden="1">
      <c r="A78" s="8"/>
      <c r="B78" s="10"/>
      <c r="C78" s="11">
        <v>2370</v>
      </c>
      <c r="D78" s="12" t="s">
        <v>175</v>
      </c>
      <c r="E78" s="113"/>
      <c r="F78" s="151"/>
      <c r="G78" s="151"/>
      <c r="H78" s="151"/>
      <c r="I78" s="151"/>
      <c r="J78" s="151"/>
      <c r="K78" s="151"/>
      <c r="L78" s="151"/>
      <c r="M78" s="152">
        <f t="shared" si="25"/>
        <v>0</v>
      </c>
      <c r="N78" s="207"/>
    </row>
    <row r="79" spans="1:14" s="4" customFormat="1" ht="29.25" customHeight="1" hidden="1">
      <c r="A79" s="8"/>
      <c r="B79" s="8">
        <v>75831</v>
      </c>
      <c r="C79" s="8"/>
      <c r="D79" s="9" t="s">
        <v>176</v>
      </c>
      <c r="E79" s="121">
        <f aca="true" t="shared" si="28" ref="E79:M79">E80</f>
        <v>78423</v>
      </c>
      <c r="F79" s="120">
        <f t="shared" si="28"/>
        <v>0</v>
      </c>
      <c r="G79" s="120">
        <f t="shared" si="28"/>
        <v>0</v>
      </c>
      <c r="H79" s="120">
        <f t="shared" si="28"/>
        <v>0</v>
      </c>
      <c r="I79" s="120">
        <f t="shared" si="28"/>
        <v>0</v>
      </c>
      <c r="J79" s="120">
        <f t="shared" si="28"/>
        <v>0</v>
      </c>
      <c r="K79" s="120">
        <f t="shared" si="28"/>
        <v>0</v>
      </c>
      <c r="L79" s="120">
        <f t="shared" si="28"/>
        <v>0</v>
      </c>
      <c r="M79" s="155">
        <f t="shared" si="28"/>
        <v>78423</v>
      </c>
      <c r="N79" s="206"/>
    </row>
    <row r="80" spans="1:14" s="4" customFormat="1" ht="12.75" hidden="1">
      <c r="A80" s="8"/>
      <c r="B80" s="10"/>
      <c r="C80" s="10">
        <v>2920</v>
      </c>
      <c r="D80" s="12" t="s">
        <v>172</v>
      </c>
      <c r="E80" s="113">
        <v>78423</v>
      </c>
      <c r="F80" s="151"/>
      <c r="G80" s="151"/>
      <c r="H80" s="151"/>
      <c r="I80" s="151"/>
      <c r="J80" s="151"/>
      <c r="K80" s="151"/>
      <c r="L80" s="151"/>
      <c r="M80" s="152">
        <f t="shared" si="25"/>
        <v>78423</v>
      </c>
      <c r="N80" s="207"/>
    </row>
    <row r="81" spans="1:14" s="4" customFormat="1" ht="12.75">
      <c r="A81" s="6">
        <v>801</v>
      </c>
      <c r="B81" s="6"/>
      <c r="C81" s="6"/>
      <c r="D81" s="7" t="s">
        <v>35</v>
      </c>
      <c r="E81" s="107">
        <f>E82+E85+E89+E92+E94+E97</f>
        <v>309125</v>
      </c>
      <c r="F81" s="153">
        <f>F82+F85+F89+F92+F94+F97</f>
        <v>3000</v>
      </c>
      <c r="G81" s="153">
        <f aca="true" t="shared" si="29" ref="G81:L81">G82+G85+G89+G92+G94+G97</f>
        <v>0</v>
      </c>
      <c r="H81" s="153">
        <f t="shared" si="29"/>
        <v>0</v>
      </c>
      <c r="I81" s="153">
        <f t="shared" si="29"/>
        <v>0</v>
      </c>
      <c r="J81" s="153">
        <f t="shared" si="29"/>
        <v>0</v>
      </c>
      <c r="K81" s="153">
        <f t="shared" si="29"/>
        <v>0</v>
      </c>
      <c r="L81" s="153">
        <f t="shared" si="29"/>
        <v>0</v>
      </c>
      <c r="M81" s="107">
        <f>M82+M85+M89+M92+M94+M97</f>
        <v>312125</v>
      </c>
      <c r="N81" s="205"/>
    </row>
    <row r="82" spans="1:14" s="4" customFormat="1" ht="12.75">
      <c r="A82" s="15"/>
      <c r="B82" s="15">
        <v>80101</v>
      </c>
      <c r="C82" s="15"/>
      <c r="D82" s="9" t="s">
        <v>36</v>
      </c>
      <c r="E82" s="121">
        <f>E83+E84</f>
        <v>48110</v>
      </c>
      <c r="F82" s="120">
        <f aca="true" t="shared" si="30" ref="F82:L82">F83</f>
        <v>0</v>
      </c>
      <c r="G82" s="120">
        <f t="shared" si="30"/>
        <v>0</v>
      </c>
      <c r="H82" s="120">
        <f t="shared" si="30"/>
        <v>0</v>
      </c>
      <c r="I82" s="120">
        <f t="shared" si="30"/>
        <v>0</v>
      </c>
      <c r="J82" s="120">
        <f t="shared" si="30"/>
        <v>0</v>
      </c>
      <c r="K82" s="120">
        <f t="shared" si="30"/>
        <v>0</v>
      </c>
      <c r="L82" s="120">
        <f t="shared" si="30"/>
        <v>0</v>
      </c>
      <c r="M82" s="155">
        <f>M83+M84</f>
        <v>48110</v>
      </c>
      <c r="N82" s="206"/>
    </row>
    <row r="83" spans="1:14" s="118" customFormat="1" ht="12.75">
      <c r="A83" s="13"/>
      <c r="B83" s="13"/>
      <c r="C83" s="16" t="s">
        <v>103</v>
      </c>
      <c r="D83" s="17" t="s">
        <v>104</v>
      </c>
      <c r="E83" s="122">
        <v>18500</v>
      </c>
      <c r="F83" s="14"/>
      <c r="G83" s="14"/>
      <c r="H83" s="14"/>
      <c r="I83" s="14"/>
      <c r="J83" s="14"/>
      <c r="K83" s="14"/>
      <c r="L83" s="14"/>
      <c r="M83" s="152">
        <f aca="true" t="shared" si="31" ref="M83:M91">E83+F83+G83+H83+I83+J83+K83+L83</f>
        <v>18500</v>
      </c>
      <c r="N83" s="210"/>
    </row>
    <row r="84" spans="1:14" s="118" customFormat="1" ht="38.25">
      <c r="A84" s="13"/>
      <c r="B84" s="13"/>
      <c r="C84" s="16">
        <v>2030</v>
      </c>
      <c r="D84" s="17" t="s">
        <v>37</v>
      </c>
      <c r="E84" s="122">
        <v>29610</v>
      </c>
      <c r="F84" s="14"/>
      <c r="G84" s="14"/>
      <c r="H84" s="14"/>
      <c r="I84" s="14"/>
      <c r="J84" s="14"/>
      <c r="K84" s="14"/>
      <c r="L84" s="14"/>
      <c r="M84" s="152">
        <f t="shared" si="31"/>
        <v>29610</v>
      </c>
      <c r="N84" s="210"/>
    </row>
    <row r="85" spans="1:14" s="4" customFormat="1" ht="12.75">
      <c r="A85" s="15"/>
      <c r="B85" s="15">
        <v>80104</v>
      </c>
      <c r="C85" s="15"/>
      <c r="D85" s="18" t="s">
        <v>38</v>
      </c>
      <c r="E85" s="121">
        <f>SUM(E86:E88)</f>
        <v>122600</v>
      </c>
      <c r="F85" s="120">
        <f>SUM(F86:F88)</f>
        <v>3000</v>
      </c>
      <c r="G85" s="120">
        <f aca="true" t="shared" si="32" ref="G85:L85">SUM(G86:G88)</f>
        <v>0</v>
      </c>
      <c r="H85" s="120">
        <f t="shared" si="32"/>
        <v>0</v>
      </c>
      <c r="I85" s="120">
        <f t="shared" si="32"/>
        <v>0</v>
      </c>
      <c r="J85" s="120">
        <f t="shared" si="32"/>
        <v>0</v>
      </c>
      <c r="K85" s="120">
        <f t="shared" si="32"/>
        <v>0</v>
      </c>
      <c r="L85" s="120">
        <f t="shared" si="32"/>
        <v>0</v>
      </c>
      <c r="M85" s="155">
        <f>SUM(M86:M88)</f>
        <v>125600</v>
      </c>
      <c r="N85" s="206"/>
    </row>
    <row r="86" spans="1:14" s="4" customFormat="1" ht="12.75">
      <c r="A86" s="15"/>
      <c r="B86" s="15"/>
      <c r="C86" s="11" t="s">
        <v>148</v>
      </c>
      <c r="D86" s="12" t="s">
        <v>149</v>
      </c>
      <c r="E86" s="113">
        <v>116000</v>
      </c>
      <c r="F86" s="151"/>
      <c r="G86" s="151"/>
      <c r="H86" s="151"/>
      <c r="I86" s="151"/>
      <c r="J86" s="151"/>
      <c r="K86" s="151"/>
      <c r="L86" s="151"/>
      <c r="M86" s="152">
        <f t="shared" si="31"/>
        <v>116000</v>
      </c>
      <c r="N86" s="207"/>
    </row>
    <row r="87" spans="1:14" s="4" customFormat="1" ht="25.5">
      <c r="A87" s="15"/>
      <c r="B87" s="15"/>
      <c r="C87" s="11" t="s">
        <v>111</v>
      </c>
      <c r="D87" s="12" t="s">
        <v>112</v>
      </c>
      <c r="E87" s="113">
        <v>100</v>
      </c>
      <c r="F87" s="151"/>
      <c r="G87" s="151"/>
      <c r="H87" s="151"/>
      <c r="I87" s="151"/>
      <c r="J87" s="151"/>
      <c r="K87" s="151"/>
      <c r="L87" s="151"/>
      <c r="M87" s="152">
        <f t="shared" si="31"/>
        <v>100</v>
      </c>
      <c r="N87" s="207"/>
    </row>
    <row r="88" spans="1:14" s="4" customFormat="1" ht="12.75">
      <c r="A88" s="15"/>
      <c r="B88" s="15"/>
      <c r="C88" s="16" t="s">
        <v>103</v>
      </c>
      <c r="D88" s="17" t="s">
        <v>104</v>
      </c>
      <c r="E88" s="113">
        <v>6500</v>
      </c>
      <c r="F88" s="151">
        <v>3000</v>
      </c>
      <c r="G88" s="151"/>
      <c r="H88" s="151"/>
      <c r="I88" s="151"/>
      <c r="J88" s="151"/>
      <c r="K88" s="151"/>
      <c r="L88" s="151"/>
      <c r="M88" s="152">
        <f t="shared" si="31"/>
        <v>9500</v>
      </c>
      <c r="N88" s="207" t="s">
        <v>353</v>
      </c>
    </row>
    <row r="89" spans="1:14" s="4" customFormat="1" ht="12.75">
      <c r="A89" s="15"/>
      <c r="B89" s="8">
        <v>80110</v>
      </c>
      <c r="C89" s="8"/>
      <c r="D89" s="9" t="s">
        <v>39</v>
      </c>
      <c r="E89" s="121">
        <f>E90+E91</f>
        <v>0</v>
      </c>
      <c r="F89" s="120">
        <f>F90+F91</f>
        <v>0</v>
      </c>
      <c r="G89" s="120">
        <f aca="true" t="shared" si="33" ref="G89:L89">G90+G91</f>
        <v>0</v>
      </c>
      <c r="H89" s="120">
        <f t="shared" si="33"/>
        <v>0</v>
      </c>
      <c r="I89" s="120">
        <f t="shared" si="33"/>
        <v>0</v>
      </c>
      <c r="J89" s="120">
        <f t="shared" si="33"/>
        <v>0</v>
      </c>
      <c r="K89" s="120">
        <f t="shared" si="33"/>
        <v>0</v>
      </c>
      <c r="L89" s="120">
        <f t="shared" si="33"/>
        <v>0</v>
      </c>
      <c r="M89" s="155">
        <f>M90+M91</f>
        <v>0</v>
      </c>
      <c r="N89" s="206"/>
    </row>
    <row r="90" spans="1:14" s="4" customFormat="1" ht="25.5">
      <c r="A90" s="15"/>
      <c r="B90" s="15"/>
      <c r="C90" s="11">
        <v>6298</v>
      </c>
      <c r="D90" s="12" t="s">
        <v>150</v>
      </c>
      <c r="E90" s="113"/>
      <c r="F90" s="151"/>
      <c r="G90" s="151"/>
      <c r="H90" s="151"/>
      <c r="I90" s="151"/>
      <c r="J90" s="151"/>
      <c r="K90" s="151"/>
      <c r="L90" s="151"/>
      <c r="M90" s="152">
        <f t="shared" si="31"/>
        <v>0</v>
      </c>
      <c r="N90" s="207"/>
    </row>
    <row r="91" spans="1:14" s="4" customFormat="1" ht="38.25">
      <c r="A91" s="15"/>
      <c r="B91" s="15"/>
      <c r="C91" s="11">
        <v>6339</v>
      </c>
      <c r="D91" s="12" t="s">
        <v>151</v>
      </c>
      <c r="E91" s="113"/>
      <c r="F91" s="151"/>
      <c r="G91" s="151"/>
      <c r="H91" s="151"/>
      <c r="I91" s="151"/>
      <c r="J91" s="151"/>
      <c r="K91" s="151"/>
      <c r="L91" s="151"/>
      <c r="M91" s="152">
        <f t="shared" si="31"/>
        <v>0</v>
      </c>
      <c r="N91" s="207"/>
    </row>
    <row r="92" spans="1:14" s="4" customFormat="1" ht="12.75">
      <c r="A92" s="15"/>
      <c r="B92" s="8">
        <v>80113</v>
      </c>
      <c r="C92" s="8"/>
      <c r="D92" s="9" t="s">
        <v>164</v>
      </c>
      <c r="E92" s="121">
        <f aca="true" t="shared" si="34" ref="E92:M92">E93</f>
        <v>0</v>
      </c>
      <c r="F92" s="120">
        <f t="shared" si="34"/>
        <v>0</v>
      </c>
      <c r="G92" s="120">
        <f t="shared" si="34"/>
        <v>0</v>
      </c>
      <c r="H92" s="120">
        <f t="shared" si="34"/>
        <v>0</v>
      </c>
      <c r="I92" s="120">
        <f t="shared" si="34"/>
        <v>0</v>
      </c>
      <c r="J92" s="120">
        <f t="shared" si="34"/>
        <v>0</v>
      </c>
      <c r="K92" s="120">
        <f t="shared" si="34"/>
        <v>0</v>
      </c>
      <c r="L92" s="120">
        <f t="shared" si="34"/>
        <v>0</v>
      </c>
      <c r="M92" s="155">
        <f t="shared" si="34"/>
        <v>0</v>
      </c>
      <c r="N92" s="206"/>
    </row>
    <row r="93" spans="1:14" s="4" customFormat="1" ht="12.75">
      <c r="A93" s="15"/>
      <c r="B93" s="15"/>
      <c r="C93" s="16" t="s">
        <v>103</v>
      </c>
      <c r="D93" s="17" t="s">
        <v>104</v>
      </c>
      <c r="E93" s="113"/>
      <c r="F93" s="151"/>
      <c r="G93" s="151"/>
      <c r="H93" s="151"/>
      <c r="I93" s="151"/>
      <c r="J93" s="151"/>
      <c r="K93" s="151"/>
      <c r="L93" s="151"/>
      <c r="M93" s="152">
        <f>E93+F93+G93+H93+I93+J93+K93</f>
        <v>0</v>
      </c>
      <c r="N93" s="207"/>
    </row>
    <row r="94" spans="1:14" s="4" customFormat="1" ht="25.5">
      <c r="A94" s="15"/>
      <c r="B94" s="8">
        <v>80114</v>
      </c>
      <c r="C94" s="8"/>
      <c r="D94" s="9" t="s">
        <v>152</v>
      </c>
      <c r="E94" s="121">
        <f>E95+E96</f>
        <v>500</v>
      </c>
      <c r="F94" s="120">
        <f>F95+F96</f>
        <v>0</v>
      </c>
      <c r="G94" s="120">
        <f aca="true" t="shared" si="35" ref="G94:L94">G95+G96</f>
        <v>0</v>
      </c>
      <c r="H94" s="120">
        <f t="shared" si="35"/>
        <v>0</v>
      </c>
      <c r="I94" s="120">
        <f t="shared" si="35"/>
        <v>0</v>
      </c>
      <c r="J94" s="120">
        <f t="shared" si="35"/>
        <v>0</v>
      </c>
      <c r="K94" s="120">
        <f t="shared" si="35"/>
        <v>0</v>
      </c>
      <c r="L94" s="120">
        <f t="shared" si="35"/>
        <v>0</v>
      </c>
      <c r="M94" s="155">
        <f>E94+F94+G94+H94+I94+J94+K94</f>
        <v>500</v>
      </c>
      <c r="N94" s="206"/>
    </row>
    <row r="95" spans="1:14" s="4" customFormat="1" ht="12.75">
      <c r="A95" s="15"/>
      <c r="B95" s="15"/>
      <c r="C95" s="11" t="s">
        <v>29</v>
      </c>
      <c r="D95" s="12" t="s">
        <v>30</v>
      </c>
      <c r="E95" s="113">
        <v>500</v>
      </c>
      <c r="F95" s="151"/>
      <c r="G95" s="151"/>
      <c r="H95" s="151"/>
      <c r="I95" s="151"/>
      <c r="J95" s="151"/>
      <c r="K95" s="151"/>
      <c r="L95" s="151"/>
      <c r="M95" s="152">
        <f>E95+F95+G95+H95+I95+J95+K95+L95</f>
        <v>500</v>
      </c>
      <c r="N95" s="207"/>
    </row>
    <row r="96" spans="1:14" s="4" customFormat="1" ht="12.75">
      <c r="A96" s="15"/>
      <c r="B96" s="15"/>
      <c r="C96" s="16" t="s">
        <v>103</v>
      </c>
      <c r="D96" s="17" t="s">
        <v>104</v>
      </c>
      <c r="E96" s="113"/>
      <c r="F96" s="151"/>
      <c r="G96" s="151"/>
      <c r="H96" s="151"/>
      <c r="I96" s="151"/>
      <c r="J96" s="151"/>
      <c r="K96" s="151"/>
      <c r="L96" s="151"/>
      <c r="M96" s="152">
        <f>E96+F96+G96+H96+I96+J96+K96+L96</f>
        <v>0</v>
      </c>
      <c r="N96" s="207"/>
    </row>
    <row r="97" spans="1:14" s="4" customFormat="1" ht="12.75">
      <c r="A97" s="15"/>
      <c r="B97" s="15">
        <v>80195</v>
      </c>
      <c r="C97" s="11"/>
      <c r="D97" s="19" t="s">
        <v>40</v>
      </c>
      <c r="E97" s="121">
        <f>E98+E99</f>
        <v>137915</v>
      </c>
      <c r="F97" s="120">
        <f>F98+F99</f>
        <v>0</v>
      </c>
      <c r="G97" s="120">
        <f aca="true" t="shared" si="36" ref="G97:L97">G98</f>
        <v>0</v>
      </c>
      <c r="H97" s="120">
        <f t="shared" si="36"/>
        <v>0</v>
      </c>
      <c r="I97" s="120">
        <f t="shared" si="36"/>
        <v>0</v>
      </c>
      <c r="J97" s="120">
        <f t="shared" si="36"/>
        <v>0</v>
      </c>
      <c r="K97" s="120">
        <f t="shared" si="36"/>
        <v>0</v>
      </c>
      <c r="L97" s="120">
        <f t="shared" si="36"/>
        <v>0</v>
      </c>
      <c r="M97" s="157">
        <f>M98+M99</f>
        <v>137915</v>
      </c>
      <c r="N97" s="206"/>
    </row>
    <row r="98" spans="1:14" s="4" customFormat="1" ht="38.25">
      <c r="A98" s="15"/>
      <c r="B98" s="15"/>
      <c r="C98" s="16">
        <v>2030</v>
      </c>
      <c r="D98" s="17" t="s">
        <v>37</v>
      </c>
      <c r="E98" s="113">
        <v>122915</v>
      </c>
      <c r="F98" s="151"/>
      <c r="G98" s="151"/>
      <c r="H98" s="151"/>
      <c r="I98" s="151"/>
      <c r="J98" s="151"/>
      <c r="K98" s="151"/>
      <c r="L98" s="151"/>
      <c r="M98" s="152">
        <f>E98+F98+G98+H98+I98+J98+K98+L98</f>
        <v>122915</v>
      </c>
      <c r="N98" s="207"/>
    </row>
    <row r="99" spans="1:14" s="4" customFormat="1" ht="38.25">
      <c r="A99" s="15"/>
      <c r="B99" s="15"/>
      <c r="C99" s="16">
        <v>6330</v>
      </c>
      <c r="D99" s="17" t="s">
        <v>151</v>
      </c>
      <c r="E99" s="113">
        <v>15000</v>
      </c>
      <c r="F99" s="151"/>
      <c r="G99" s="151"/>
      <c r="H99" s="151"/>
      <c r="I99" s="151"/>
      <c r="J99" s="151"/>
      <c r="K99" s="151"/>
      <c r="L99" s="151"/>
      <c r="M99" s="152">
        <f>E99+F99+G99+H99+I99+J99+K99+L99</f>
        <v>15000</v>
      </c>
      <c r="N99" s="207"/>
    </row>
    <row r="100" spans="1:14" s="4" customFormat="1" ht="12.75">
      <c r="A100" s="6">
        <v>852</v>
      </c>
      <c r="B100" s="6"/>
      <c r="C100" s="6"/>
      <c r="D100" s="7" t="s">
        <v>177</v>
      </c>
      <c r="E100" s="107">
        <f>E105+E107+E110+E101+E115+E113</f>
        <v>2041770</v>
      </c>
      <c r="F100" s="153">
        <f>F105+F107+F110+F101+F115+F113</f>
        <v>3018</v>
      </c>
      <c r="G100" s="153">
        <f aca="true" t="shared" si="37" ref="G100:L100">G105+G107+G110+G101+G115</f>
        <v>0</v>
      </c>
      <c r="H100" s="153">
        <f t="shared" si="37"/>
        <v>0</v>
      </c>
      <c r="I100" s="153">
        <f t="shared" si="37"/>
        <v>0</v>
      </c>
      <c r="J100" s="153">
        <f t="shared" si="37"/>
        <v>0</v>
      </c>
      <c r="K100" s="153">
        <f t="shared" si="37"/>
        <v>0</v>
      </c>
      <c r="L100" s="153">
        <f t="shared" si="37"/>
        <v>0</v>
      </c>
      <c r="M100" s="107">
        <f>M105+M107+M110+M101+M115+M113</f>
        <v>2044788</v>
      </c>
      <c r="N100" s="205"/>
    </row>
    <row r="101" spans="1:14" s="118" customFormat="1" ht="53.25" customHeight="1">
      <c r="A101" s="13"/>
      <c r="B101" s="8">
        <v>85212</v>
      </c>
      <c r="C101" s="8"/>
      <c r="D101" s="9" t="s">
        <v>178</v>
      </c>
      <c r="E101" s="108">
        <f>SUM(E102:E104)</f>
        <v>1793600</v>
      </c>
      <c r="F101" s="154">
        <f>SUM(F102:F104)</f>
        <v>0</v>
      </c>
      <c r="G101" s="154">
        <f aca="true" t="shared" si="38" ref="G101:L101">SUM(G102:G103)</f>
        <v>0</v>
      </c>
      <c r="H101" s="154">
        <f t="shared" si="38"/>
        <v>0</v>
      </c>
      <c r="I101" s="154">
        <f t="shared" si="38"/>
        <v>0</v>
      </c>
      <c r="J101" s="154">
        <f t="shared" si="38"/>
        <v>0</v>
      </c>
      <c r="K101" s="154">
        <f t="shared" si="38"/>
        <v>0</v>
      </c>
      <c r="L101" s="154">
        <f t="shared" si="38"/>
        <v>0</v>
      </c>
      <c r="M101" s="155">
        <f>M102+M103+M104</f>
        <v>1793600</v>
      </c>
      <c r="N101" s="208"/>
    </row>
    <row r="102" spans="1:14" s="118" customFormat="1" ht="57" customHeight="1">
      <c r="A102" s="13"/>
      <c r="B102" s="8"/>
      <c r="C102" s="10">
        <v>2010</v>
      </c>
      <c r="D102" s="12" t="s">
        <v>32</v>
      </c>
      <c r="E102" s="122">
        <v>1780100</v>
      </c>
      <c r="F102" s="14"/>
      <c r="G102" s="14"/>
      <c r="H102" s="14"/>
      <c r="I102" s="14"/>
      <c r="J102" s="14"/>
      <c r="K102" s="14"/>
      <c r="L102" s="14"/>
      <c r="M102" s="152">
        <f aca="true" t="shared" si="39" ref="M102:M109">E102+F102+G102+H102+I102+J102+K102+L102</f>
        <v>1780100</v>
      </c>
      <c r="N102" s="210"/>
    </row>
    <row r="103" spans="1:14" s="118" customFormat="1" ht="56.25" customHeight="1">
      <c r="A103" s="13"/>
      <c r="B103" s="8"/>
      <c r="C103" s="10">
        <v>2360</v>
      </c>
      <c r="D103" s="12" t="s">
        <v>170</v>
      </c>
      <c r="E103" s="122">
        <v>9000</v>
      </c>
      <c r="F103" s="14"/>
      <c r="G103" s="14"/>
      <c r="H103" s="14"/>
      <c r="I103" s="14"/>
      <c r="J103" s="14"/>
      <c r="K103" s="14"/>
      <c r="L103" s="14"/>
      <c r="M103" s="152">
        <f t="shared" si="39"/>
        <v>9000</v>
      </c>
      <c r="N103" s="145"/>
    </row>
    <row r="104" spans="1:14" s="118" customFormat="1" ht="56.25" customHeight="1">
      <c r="A104" s="13"/>
      <c r="B104" s="8"/>
      <c r="C104" s="10">
        <v>6310</v>
      </c>
      <c r="D104" s="12" t="s">
        <v>349</v>
      </c>
      <c r="E104" s="122">
        <v>4500</v>
      </c>
      <c r="F104" s="14"/>
      <c r="G104" s="14"/>
      <c r="H104" s="14"/>
      <c r="I104" s="14"/>
      <c r="J104" s="14"/>
      <c r="K104" s="14"/>
      <c r="L104" s="14"/>
      <c r="M104" s="152">
        <f t="shared" si="39"/>
        <v>4500</v>
      </c>
      <c r="N104" s="210"/>
    </row>
    <row r="105" spans="1:14" s="118" customFormat="1" ht="51">
      <c r="A105" s="13"/>
      <c r="B105" s="8">
        <v>85213</v>
      </c>
      <c r="C105" s="8"/>
      <c r="D105" s="9" t="s">
        <v>179</v>
      </c>
      <c r="E105" s="108">
        <f aca="true" t="shared" si="40" ref="E105:M105">E106</f>
        <v>9000</v>
      </c>
      <c r="F105" s="154">
        <f t="shared" si="40"/>
        <v>0</v>
      </c>
      <c r="G105" s="154">
        <f t="shared" si="40"/>
        <v>0</v>
      </c>
      <c r="H105" s="154">
        <f t="shared" si="40"/>
        <v>0</v>
      </c>
      <c r="I105" s="154">
        <f t="shared" si="40"/>
        <v>0</v>
      </c>
      <c r="J105" s="154">
        <f t="shared" si="40"/>
        <v>0</v>
      </c>
      <c r="K105" s="154">
        <f t="shared" si="40"/>
        <v>0</v>
      </c>
      <c r="L105" s="154">
        <f t="shared" si="40"/>
        <v>0</v>
      </c>
      <c r="M105" s="155">
        <f t="shared" si="40"/>
        <v>9000</v>
      </c>
      <c r="N105" s="208"/>
    </row>
    <row r="106" spans="1:14" s="118" customFormat="1" ht="51">
      <c r="A106" s="13"/>
      <c r="B106" s="13"/>
      <c r="C106" s="10">
        <v>2010</v>
      </c>
      <c r="D106" s="12" t="s">
        <v>32</v>
      </c>
      <c r="E106" s="122">
        <v>9000</v>
      </c>
      <c r="F106" s="312"/>
      <c r="G106" s="14"/>
      <c r="H106" s="14"/>
      <c r="I106" s="14"/>
      <c r="J106" s="14"/>
      <c r="K106" s="14"/>
      <c r="L106" s="14"/>
      <c r="M106" s="152">
        <f t="shared" si="39"/>
        <v>9000</v>
      </c>
      <c r="N106" s="210"/>
    </row>
    <row r="107" spans="1:14" s="4" customFormat="1" ht="25.5">
      <c r="A107" s="8"/>
      <c r="B107" s="8">
        <v>85214</v>
      </c>
      <c r="C107" s="8"/>
      <c r="D107" s="9" t="s">
        <v>180</v>
      </c>
      <c r="E107" s="121">
        <f>E108+E109</f>
        <v>149870</v>
      </c>
      <c r="F107" s="317">
        <f>F108+F109</f>
        <v>-2240</v>
      </c>
      <c r="G107" s="120">
        <f aca="true" t="shared" si="41" ref="G107:L107">G108+G109</f>
        <v>0</v>
      </c>
      <c r="H107" s="120">
        <f t="shared" si="41"/>
        <v>0</v>
      </c>
      <c r="I107" s="120">
        <f t="shared" si="41"/>
        <v>0</v>
      </c>
      <c r="J107" s="120">
        <f t="shared" si="41"/>
        <v>0</v>
      </c>
      <c r="K107" s="120">
        <f t="shared" si="41"/>
        <v>0</v>
      </c>
      <c r="L107" s="120">
        <f t="shared" si="41"/>
        <v>0</v>
      </c>
      <c r="M107" s="155">
        <f>M108+M109</f>
        <v>147630</v>
      </c>
      <c r="N107" s="206"/>
    </row>
    <row r="108" spans="1:14" s="4" customFormat="1" ht="51">
      <c r="A108" s="8"/>
      <c r="B108" s="10"/>
      <c r="C108" s="10">
        <v>2010</v>
      </c>
      <c r="D108" s="12" t="s">
        <v>32</v>
      </c>
      <c r="E108" s="113">
        <v>129870</v>
      </c>
      <c r="F108" s="151"/>
      <c r="G108" s="151"/>
      <c r="H108" s="151"/>
      <c r="I108" s="151"/>
      <c r="J108" s="151"/>
      <c r="K108" s="151"/>
      <c r="L108" s="151"/>
      <c r="M108" s="152">
        <f t="shared" si="39"/>
        <v>129870</v>
      </c>
      <c r="N108" s="295"/>
    </row>
    <row r="109" spans="1:14" s="4" customFormat="1" ht="38.25">
      <c r="A109" s="8"/>
      <c r="B109" s="10"/>
      <c r="C109" s="16">
        <v>2030</v>
      </c>
      <c r="D109" s="17" t="s">
        <v>37</v>
      </c>
      <c r="E109" s="113">
        <v>20000</v>
      </c>
      <c r="F109" s="150">
        <v>-2240</v>
      </c>
      <c r="G109" s="151"/>
      <c r="H109" s="151"/>
      <c r="I109" s="151"/>
      <c r="J109" s="151"/>
      <c r="K109" s="151"/>
      <c r="L109" s="151"/>
      <c r="M109" s="152">
        <f t="shared" si="39"/>
        <v>17760</v>
      </c>
      <c r="N109" s="210" t="s">
        <v>354</v>
      </c>
    </row>
    <row r="110" spans="1:14" s="4" customFormat="1" ht="14.25" customHeight="1">
      <c r="A110" s="8"/>
      <c r="B110" s="8">
        <v>85219</v>
      </c>
      <c r="C110" s="8"/>
      <c r="D110" s="9" t="s">
        <v>181</v>
      </c>
      <c r="E110" s="121">
        <f>E111+E112</f>
        <v>47200</v>
      </c>
      <c r="F110" s="120">
        <f>F111+F112</f>
        <v>5258</v>
      </c>
      <c r="G110" s="120">
        <f aca="true" t="shared" si="42" ref="G110:L110">G111+G112</f>
        <v>0</v>
      </c>
      <c r="H110" s="120">
        <f t="shared" si="42"/>
        <v>0</v>
      </c>
      <c r="I110" s="120">
        <f t="shared" si="42"/>
        <v>0</v>
      </c>
      <c r="J110" s="120">
        <f t="shared" si="42"/>
        <v>0</v>
      </c>
      <c r="K110" s="120">
        <f t="shared" si="42"/>
        <v>0</v>
      </c>
      <c r="L110" s="120">
        <f t="shared" si="42"/>
        <v>0</v>
      </c>
      <c r="M110" s="155">
        <f>M111+M112</f>
        <v>52458</v>
      </c>
      <c r="N110" s="206"/>
    </row>
    <row r="111" spans="1:14" s="4" customFormat="1" ht="67.5">
      <c r="A111" s="8"/>
      <c r="B111" s="10"/>
      <c r="C111" s="16">
        <v>2030</v>
      </c>
      <c r="D111" s="17" t="s">
        <v>37</v>
      </c>
      <c r="E111" s="113">
        <v>46200</v>
      </c>
      <c r="F111" s="151">
        <v>5258</v>
      </c>
      <c r="G111" s="151"/>
      <c r="H111" s="151"/>
      <c r="I111" s="151"/>
      <c r="J111" s="151"/>
      <c r="K111" s="151"/>
      <c r="L111" s="151"/>
      <c r="M111" s="152">
        <f>E111+F111+G111+H111+I111+J111+K111+L111</f>
        <v>51458</v>
      </c>
      <c r="N111" s="295" t="s">
        <v>355</v>
      </c>
    </row>
    <row r="112" spans="1:14" s="127" customFormat="1" ht="12.75">
      <c r="A112" s="8"/>
      <c r="B112" s="8"/>
      <c r="C112" s="11" t="s">
        <v>29</v>
      </c>
      <c r="D112" s="12" t="s">
        <v>30</v>
      </c>
      <c r="E112" s="113">
        <v>1000</v>
      </c>
      <c r="F112" s="151"/>
      <c r="G112" s="151"/>
      <c r="H112" s="151"/>
      <c r="I112" s="151"/>
      <c r="J112" s="151"/>
      <c r="K112" s="151"/>
      <c r="L112" s="151"/>
      <c r="M112" s="152">
        <f>E112+F112+G112+H112+I112+J112+K112+L112</f>
        <v>1000</v>
      </c>
      <c r="N112" s="207"/>
    </row>
    <row r="113" spans="1:14" s="127" customFormat="1" ht="25.5">
      <c r="A113" s="8"/>
      <c r="B113" s="15">
        <v>85228</v>
      </c>
      <c r="C113" s="15"/>
      <c r="D113" s="18" t="s">
        <v>188</v>
      </c>
      <c r="E113" s="299">
        <f>E114</f>
        <v>5000</v>
      </c>
      <c r="F113" s="300">
        <f>F114</f>
        <v>0</v>
      </c>
      <c r="G113" s="300"/>
      <c r="H113" s="300"/>
      <c r="I113" s="300"/>
      <c r="J113" s="300"/>
      <c r="K113" s="300"/>
      <c r="L113" s="300"/>
      <c r="M113" s="157">
        <f>M114</f>
        <v>5000</v>
      </c>
      <c r="N113" s="207"/>
    </row>
    <row r="114" spans="1:14" s="127" customFormat="1" ht="12.75">
      <c r="A114" s="8"/>
      <c r="B114" s="8"/>
      <c r="C114" s="11" t="s">
        <v>148</v>
      </c>
      <c r="D114" s="12" t="s">
        <v>149</v>
      </c>
      <c r="E114" s="113">
        <v>5000</v>
      </c>
      <c r="F114" s="151"/>
      <c r="G114" s="151"/>
      <c r="H114" s="151"/>
      <c r="I114" s="151"/>
      <c r="J114" s="151"/>
      <c r="K114" s="151"/>
      <c r="L114" s="151"/>
      <c r="M114" s="152">
        <f>E114+F114+G114+H114+I114+J114+K114+L114</f>
        <v>5000</v>
      </c>
      <c r="N114" s="207"/>
    </row>
    <row r="115" spans="1:14" s="128" customFormat="1" ht="16.5" customHeight="1">
      <c r="A115" s="117"/>
      <c r="B115" s="117">
        <v>85295</v>
      </c>
      <c r="C115" s="117"/>
      <c r="D115" s="19" t="s">
        <v>40</v>
      </c>
      <c r="E115" s="121">
        <f aca="true" t="shared" si="43" ref="E115:M115">E116</f>
        <v>37100</v>
      </c>
      <c r="F115" s="120">
        <f t="shared" si="43"/>
        <v>0</v>
      </c>
      <c r="G115" s="120">
        <f t="shared" si="43"/>
        <v>0</v>
      </c>
      <c r="H115" s="120">
        <f t="shared" si="43"/>
        <v>0</v>
      </c>
      <c r="I115" s="120">
        <f t="shared" si="43"/>
        <v>0</v>
      </c>
      <c r="J115" s="120">
        <f t="shared" si="43"/>
        <v>0</v>
      </c>
      <c r="K115" s="120">
        <f t="shared" si="43"/>
        <v>0</v>
      </c>
      <c r="L115" s="120">
        <f t="shared" si="43"/>
        <v>0</v>
      </c>
      <c r="M115" s="157">
        <f t="shared" si="43"/>
        <v>37100</v>
      </c>
      <c r="N115" s="206"/>
    </row>
    <row r="116" spans="1:14" s="127" customFormat="1" ht="38.25">
      <c r="A116" s="8"/>
      <c r="B116" s="8"/>
      <c r="C116" s="16">
        <v>2030</v>
      </c>
      <c r="D116" s="17" t="s">
        <v>37</v>
      </c>
      <c r="E116" s="113">
        <v>37100</v>
      </c>
      <c r="F116" s="151"/>
      <c r="G116" s="151"/>
      <c r="H116" s="151"/>
      <c r="I116" s="151"/>
      <c r="J116" s="151"/>
      <c r="K116" s="151"/>
      <c r="L116" s="151"/>
      <c r="M116" s="152">
        <f>E116+F116+G116+H116+I116+J116+K116+L116</f>
        <v>37100</v>
      </c>
      <c r="N116" s="207"/>
    </row>
    <row r="117" spans="1:14" s="4" customFormat="1" ht="12.75" customHeight="1">
      <c r="A117" s="6">
        <v>854</v>
      </c>
      <c r="B117" s="6"/>
      <c r="C117" s="6"/>
      <c r="D117" s="7" t="s">
        <v>190</v>
      </c>
      <c r="E117" s="107">
        <f>E118</f>
        <v>34579</v>
      </c>
      <c r="F117" s="153">
        <f>F118</f>
        <v>38234</v>
      </c>
      <c r="G117" s="153">
        <f aca="true" t="shared" si="44" ref="G117:L117">G118</f>
        <v>0</v>
      </c>
      <c r="H117" s="153">
        <f t="shared" si="44"/>
        <v>0</v>
      </c>
      <c r="I117" s="153">
        <f t="shared" si="44"/>
        <v>0</v>
      </c>
      <c r="J117" s="153">
        <f t="shared" si="44"/>
        <v>0</v>
      </c>
      <c r="K117" s="153">
        <f t="shared" si="44"/>
        <v>0</v>
      </c>
      <c r="L117" s="153">
        <f t="shared" si="44"/>
        <v>0</v>
      </c>
      <c r="M117" s="107">
        <f>M118</f>
        <v>72813</v>
      </c>
      <c r="N117" s="205"/>
    </row>
    <row r="118" spans="1:14" s="127" customFormat="1" ht="12.75" customHeight="1">
      <c r="A118" s="8"/>
      <c r="B118" s="8">
        <v>85415</v>
      </c>
      <c r="C118" s="16"/>
      <c r="D118" s="211" t="s">
        <v>191</v>
      </c>
      <c r="E118" s="121">
        <f aca="true" t="shared" si="45" ref="E118:L118">E119</f>
        <v>34579</v>
      </c>
      <c r="F118" s="120">
        <f>F119</f>
        <v>38234</v>
      </c>
      <c r="G118" s="120">
        <f t="shared" si="45"/>
        <v>0</v>
      </c>
      <c r="H118" s="120">
        <f t="shared" si="45"/>
        <v>0</v>
      </c>
      <c r="I118" s="120">
        <f t="shared" si="45"/>
        <v>0</v>
      </c>
      <c r="J118" s="120">
        <f t="shared" si="45"/>
        <v>0</v>
      </c>
      <c r="K118" s="120">
        <f t="shared" si="45"/>
        <v>0</v>
      </c>
      <c r="L118" s="120">
        <f t="shared" si="45"/>
        <v>0</v>
      </c>
      <c r="M118" s="157">
        <f>M119</f>
        <v>72813</v>
      </c>
      <c r="N118" s="206"/>
    </row>
    <row r="119" spans="1:14" s="127" customFormat="1" ht="78.75">
      <c r="A119" s="8"/>
      <c r="B119" s="8"/>
      <c r="C119" s="16">
        <v>2030</v>
      </c>
      <c r="D119" s="17" t="s">
        <v>37</v>
      </c>
      <c r="E119" s="307">
        <v>34579</v>
      </c>
      <c r="F119" s="313">
        <v>38234</v>
      </c>
      <c r="G119" s="158"/>
      <c r="H119" s="158"/>
      <c r="I119" s="158"/>
      <c r="J119" s="158"/>
      <c r="K119" s="158"/>
      <c r="L119" s="158"/>
      <c r="M119" s="152">
        <f>E119+F119+G119+H119+I119+J119+K119+L119</f>
        <v>72813</v>
      </c>
      <c r="N119" s="295" t="s">
        <v>356</v>
      </c>
    </row>
    <row r="120" spans="1:14" s="4" customFormat="1" ht="25.5" hidden="1">
      <c r="A120" s="6">
        <v>900</v>
      </c>
      <c r="B120" s="6"/>
      <c r="C120" s="6"/>
      <c r="D120" s="7" t="s">
        <v>41</v>
      </c>
      <c r="E120" s="107">
        <f>E121+E123</f>
        <v>3700</v>
      </c>
      <c r="F120" s="153">
        <f>F121+F123</f>
        <v>0</v>
      </c>
      <c r="G120" s="153">
        <f aca="true" t="shared" si="46" ref="G120:L120">G121+G123</f>
        <v>0</v>
      </c>
      <c r="H120" s="153">
        <f t="shared" si="46"/>
        <v>0</v>
      </c>
      <c r="I120" s="153">
        <f t="shared" si="46"/>
        <v>0</v>
      </c>
      <c r="J120" s="153">
        <f t="shared" si="46"/>
        <v>0</v>
      </c>
      <c r="K120" s="153">
        <f t="shared" si="46"/>
        <v>0</v>
      </c>
      <c r="L120" s="153">
        <f t="shared" si="46"/>
        <v>0</v>
      </c>
      <c r="M120" s="107">
        <f>M121+M123</f>
        <v>3700</v>
      </c>
      <c r="N120" s="205"/>
    </row>
    <row r="121" spans="1:14" s="4" customFormat="1" ht="25.5" hidden="1">
      <c r="A121" s="8"/>
      <c r="B121" s="8">
        <v>90011</v>
      </c>
      <c r="C121" s="8"/>
      <c r="D121" s="9" t="s">
        <v>7</v>
      </c>
      <c r="E121" s="121">
        <f aca="true" t="shared" si="47" ref="E121:M121">SUM(E122:E122)</f>
        <v>2500</v>
      </c>
      <c r="F121" s="120">
        <f t="shared" si="47"/>
        <v>0</v>
      </c>
      <c r="G121" s="120">
        <f t="shared" si="47"/>
        <v>0</v>
      </c>
      <c r="H121" s="120">
        <f t="shared" si="47"/>
        <v>0</v>
      </c>
      <c r="I121" s="120">
        <f t="shared" si="47"/>
        <v>0</v>
      </c>
      <c r="J121" s="120">
        <f t="shared" si="47"/>
        <v>0</v>
      </c>
      <c r="K121" s="120">
        <f t="shared" si="47"/>
        <v>0</v>
      </c>
      <c r="L121" s="120">
        <f t="shared" si="47"/>
        <v>0</v>
      </c>
      <c r="M121" s="155">
        <f t="shared" si="47"/>
        <v>2500</v>
      </c>
      <c r="N121" s="206"/>
    </row>
    <row r="122" spans="1:14" s="4" customFormat="1" ht="12.75" hidden="1">
      <c r="A122" s="10"/>
      <c r="B122" s="10"/>
      <c r="C122" s="11" t="s">
        <v>8</v>
      </c>
      <c r="D122" s="12" t="s">
        <v>9</v>
      </c>
      <c r="E122" s="113">
        <v>2500</v>
      </c>
      <c r="F122" s="151"/>
      <c r="G122" s="151"/>
      <c r="H122" s="151"/>
      <c r="I122" s="151"/>
      <c r="J122" s="151"/>
      <c r="K122" s="151"/>
      <c r="L122" s="151"/>
      <c r="M122" s="152">
        <f>E122+F122+G122+H122+I122+J122+K122+L122</f>
        <v>2500</v>
      </c>
      <c r="N122" s="207"/>
    </row>
    <row r="123" spans="1:14" s="4" customFormat="1" ht="12.75" hidden="1">
      <c r="A123" s="10"/>
      <c r="B123" s="8">
        <v>90095</v>
      </c>
      <c r="C123" s="8"/>
      <c r="D123" s="9" t="s">
        <v>40</v>
      </c>
      <c r="E123" s="121">
        <f>E124</f>
        <v>1200</v>
      </c>
      <c r="F123" s="120">
        <f>F124</f>
        <v>0</v>
      </c>
      <c r="G123" s="120">
        <f aca="true" t="shared" si="48" ref="G123:L123">G124</f>
        <v>0</v>
      </c>
      <c r="H123" s="120">
        <f t="shared" si="48"/>
        <v>0</v>
      </c>
      <c r="I123" s="120">
        <f t="shared" si="48"/>
        <v>0</v>
      </c>
      <c r="J123" s="120">
        <f t="shared" si="48"/>
        <v>0</v>
      </c>
      <c r="K123" s="120">
        <f t="shared" si="48"/>
        <v>0</v>
      </c>
      <c r="L123" s="120">
        <f t="shared" si="48"/>
        <v>0</v>
      </c>
      <c r="M123" s="157">
        <f>M124</f>
        <v>1200</v>
      </c>
      <c r="N123" s="206"/>
    </row>
    <row r="124" spans="1:14" s="4" customFormat="1" ht="12.75" hidden="1">
      <c r="A124" s="10"/>
      <c r="B124" s="15"/>
      <c r="C124" s="11" t="s">
        <v>148</v>
      </c>
      <c r="D124" s="12" t="s">
        <v>149</v>
      </c>
      <c r="E124" s="113">
        <v>1200</v>
      </c>
      <c r="F124" s="151"/>
      <c r="G124" s="151"/>
      <c r="H124" s="151"/>
      <c r="I124" s="151"/>
      <c r="J124" s="151"/>
      <c r="K124" s="151"/>
      <c r="L124" s="151"/>
      <c r="M124" s="152">
        <f>E124+F124+G124+H124+I124+J124+K124+L124</f>
        <v>1200</v>
      </c>
      <c r="N124" s="207"/>
    </row>
    <row r="125" spans="1:14" s="4" customFormat="1" ht="12.75" customHeight="1" hidden="1">
      <c r="A125" s="212">
        <v>921</v>
      </c>
      <c r="B125" s="6"/>
      <c r="C125" s="6"/>
      <c r="D125" s="7" t="s">
        <v>192</v>
      </c>
      <c r="E125" s="107">
        <f aca="true" t="shared" si="49" ref="E125:L126">E126</f>
        <v>0</v>
      </c>
      <c r="F125" s="153">
        <f t="shared" si="49"/>
        <v>0</v>
      </c>
      <c r="G125" s="153">
        <f t="shared" si="49"/>
        <v>0</v>
      </c>
      <c r="H125" s="153">
        <f t="shared" si="49"/>
        <v>0</v>
      </c>
      <c r="I125" s="153">
        <f t="shared" si="49"/>
        <v>0</v>
      </c>
      <c r="J125" s="153">
        <f t="shared" si="49"/>
        <v>0</v>
      </c>
      <c r="K125" s="153">
        <f t="shared" si="49"/>
        <v>0</v>
      </c>
      <c r="L125" s="153">
        <f t="shared" si="49"/>
        <v>0</v>
      </c>
      <c r="M125" s="156">
        <f>M126</f>
        <v>0</v>
      </c>
      <c r="N125" s="205"/>
    </row>
    <row r="126" spans="1:14" s="4" customFormat="1" ht="12.75" customHeight="1" hidden="1">
      <c r="A126" s="10"/>
      <c r="B126" s="8">
        <v>92116</v>
      </c>
      <c r="C126" s="8"/>
      <c r="D126" s="9" t="s">
        <v>193</v>
      </c>
      <c r="E126" s="121">
        <f t="shared" si="49"/>
        <v>0</v>
      </c>
      <c r="F126" s="120">
        <f t="shared" si="49"/>
        <v>0</v>
      </c>
      <c r="G126" s="120">
        <f t="shared" si="49"/>
        <v>0</v>
      </c>
      <c r="H126" s="120">
        <f t="shared" si="49"/>
        <v>0</v>
      </c>
      <c r="I126" s="120">
        <f t="shared" si="49"/>
        <v>0</v>
      </c>
      <c r="J126" s="120">
        <f t="shared" si="49"/>
        <v>0</v>
      </c>
      <c r="K126" s="120">
        <f t="shared" si="49"/>
        <v>0</v>
      </c>
      <c r="L126" s="120">
        <f t="shared" si="49"/>
        <v>0</v>
      </c>
      <c r="M126" s="157">
        <f>M127</f>
        <v>0</v>
      </c>
      <c r="N126" s="206"/>
    </row>
    <row r="127" spans="1:14" s="4" customFormat="1" ht="54.75" customHeight="1" hidden="1">
      <c r="A127" s="10"/>
      <c r="B127" s="8"/>
      <c r="C127" s="16">
        <v>2020</v>
      </c>
      <c r="D127" s="17" t="s">
        <v>223</v>
      </c>
      <c r="E127" s="113"/>
      <c r="F127" s="151"/>
      <c r="G127" s="151"/>
      <c r="H127" s="151"/>
      <c r="I127" s="151"/>
      <c r="J127" s="151"/>
      <c r="K127" s="151"/>
      <c r="L127" s="151"/>
      <c r="M127" s="152">
        <f>E127+F127+G127+H127+I127+J127+K127</f>
        <v>0</v>
      </c>
      <c r="N127" s="207"/>
    </row>
    <row r="128" spans="1:14" s="4" customFormat="1" ht="12.75" hidden="1">
      <c r="A128" s="296">
        <v>926</v>
      </c>
      <c r="B128" s="203"/>
      <c r="C128" s="203"/>
      <c r="D128" s="204" t="s">
        <v>19</v>
      </c>
      <c r="E128" s="156">
        <f>E129</f>
        <v>40000</v>
      </c>
      <c r="F128" s="297">
        <f aca="true" t="shared" si="50" ref="F128:M129">F129</f>
        <v>0</v>
      </c>
      <c r="G128" s="156">
        <f t="shared" si="50"/>
        <v>0</v>
      </c>
      <c r="H128" s="156">
        <f t="shared" si="50"/>
        <v>0</v>
      </c>
      <c r="I128" s="156">
        <f t="shared" si="50"/>
        <v>0</v>
      </c>
      <c r="J128" s="156">
        <f t="shared" si="50"/>
        <v>0</v>
      </c>
      <c r="K128" s="156">
        <f t="shared" si="50"/>
        <v>0</v>
      </c>
      <c r="L128" s="156">
        <f t="shared" si="50"/>
        <v>0</v>
      </c>
      <c r="M128" s="156">
        <f t="shared" si="50"/>
        <v>40000</v>
      </c>
      <c r="N128" s="298"/>
    </row>
    <row r="129" spans="1:14" s="4" customFormat="1" ht="25.5" hidden="1">
      <c r="A129" s="25"/>
      <c r="B129" s="15">
        <v>92605</v>
      </c>
      <c r="C129" s="15"/>
      <c r="D129" s="18" t="s">
        <v>20</v>
      </c>
      <c r="E129" s="299">
        <f>E130</f>
        <v>40000</v>
      </c>
      <c r="F129" s="300">
        <f t="shared" si="50"/>
        <v>0</v>
      </c>
      <c r="G129" s="299">
        <f t="shared" si="50"/>
        <v>0</v>
      </c>
      <c r="H129" s="299">
        <f t="shared" si="50"/>
        <v>0</v>
      </c>
      <c r="I129" s="299">
        <f t="shared" si="50"/>
        <v>0</v>
      </c>
      <c r="J129" s="299">
        <f t="shared" si="50"/>
        <v>0</v>
      </c>
      <c r="K129" s="299">
        <f t="shared" si="50"/>
        <v>0</v>
      </c>
      <c r="L129" s="299">
        <f t="shared" si="50"/>
        <v>0</v>
      </c>
      <c r="M129" s="157">
        <f t="shared" si="50"/>
        <v>40000</v>
      </c>
      <c r="N129" s="207"/>
    </row>
    <row r="130" spans="1:14" s="4" customFormat="1" ht="51" hidden="1">
      <c r="A130" s="25"/>
      <c r="B130" s="15"/>
      <c r="C130" s="119">
        <v>2710</v>
      </c>
      <c r="D130" s="142" t="s">
        <v>341</v>
      </c>
      <c r="E130" s="113">
        <v>40000</v>
      </c>
      <c r="F130" s="151"/>
      <c r="G130" s="151"/>
      <c r="H130" s="151"/>
      <c r="I130" s="151"/>
      <c r="J130" s="151"/>
      <c r="K130" s="151"/>
      <c r="L130" s="151"/>
      <c r="M130" s="152">
        <f>E130+F130+G130+H130+I130+J130+K130</f>
        <v>40000</v>
      </c>
      <c r="N130" s="207"/>
    </row>
    <row r="131" spans="1:14" s="112" customFormat="1" ht="15.75">
      <c r="A131" s="129"/>
      <c r="B131" s="130"/>
      <c r="C131" s="130"/>
      <c r="D131" s="129" t="s">
        <v>85</v>
      </c>
      <c r="E131" s="159"/>
      <c r="F131" s="159">
        <f>F9+F15+F23+F31+F38+F41+F71+F81+F100+F120+F125+F117+F5+F128</f>
        <v>54752</v>
      </c>
      <c r="G131" s="159">
        <f aca="true" t="shared" si="51" ref="G131:L131">G9+G15+G23+G31+G38+G41+G71+G81+G100+G120+G125+G117+G5</f>
        <v>0</v>
      </c>
      <c r="H131" s="159">
        <f t="shared" si="51"/>
        <v>0</v>
      </c>
      <c r="I131" s="159">
        <f t="shared" si="51"/>
        <v>0</v>
      </c>
      <c r="J131" s="159">
        <f t="shared" si="51"/>
        <v>0</v>
      </c>
      <c r="K131" s="159">
        <f t="shared" si="51"/>
        <v>0</v>
      </c>
      <c r="L131" s="159">
        <f t="shared" si="51"/>
        <v>0</v>
      </c>
      <c r="M131" s="159"/>
      <c r="N131" s="205"/>
    </row>
    <row r="132" spans="5:14" s="4" customFormat="1" ht="12.75">
      <c r="E132" s="123"/>
      <c r="F132" s="160"/>
      <c r="G132" s="160"/>
      <c r="H132" s="160"/>
      <c r="I132" s="160"/>
      <c r="J132" s="160"/>
      <c r="K132" s="160"/>
      <c r="L132" s="160"/>
      <c r="M132" s="118"/>
      <c r="N132" s="213"/>
    </row>
    <row r="133" spans="5:14" s="4" customFormat="1" ht="12.75">
      <c r="E133" s="124"/>
      <c r="F133" s="161"/>
      <c r="G133" s="161"/>
      <c r="H133" s="161"/>
      <c r="I133" s="161"/>
      <c r="J133" s="161"/>
      <c r="K133" s="161"/>
      <c r="L133" s="161"/>
      <c r="M133" s="162"/>
      <c r="N133" s="214"/>
    </row>
    <row r="134" spans="5:14" s="4" customFormat="1" ht="12.75">
      <c r="E134" s="131"/>
      <c r="F134" s="163"/>
      <c r="G134" s="163"/>
      <c r="H134" s="163"/>
      <c r="I134" s="163"/>
      <c r="J134" s="163"/>
      <c r="K134" s="163"/>
      <c r="L134" s="163"/>
      <c r="M134" s="131"/>
      <c r="N134" s="215"/>
    </row>
    <row r="135" spans="4:14" s="4" customFormat="1" ht="12.75">
      <c r="D135" s="127"/>
      <c r="E135" s="124"/>
      <c r="F135" s="161"/>
      <c r="G135" s="161"/>
      <c r="H135" s="161"/>
      <c r="I135" s="161"/>
      <c r="J135" s="161"/>
      <c r="K135" s="161"/>
      <c r="L135" s="161"/>
      <c r="M135" s="124"/>
      <c r="N135" s="214"/>
    </row>
    <row r="136" spans="4:14" s="4" customFormat="1" ht="12.75">
      <c r="D136" s="127"/>
      <c r="E136" s="124"/>
      <c r="F136" s="161"/>
      <c r="G136" s="161"/>
      <c r="H136" s="161"/>
      <c r="I136" s="161"/>
      <c r="J136" s="161"/>
      <c r="K136" s="161"/>
      <c r="L136" s="161"/>
      <c r="M136" s="162"/>
      <c r="N136" s="214"/>
    </row>
    <row r="137" spans="5:14" ht="12.75">
      <c r="E137" s="132"/>
      <c r="F137" s="164"/>
      <c r="G137" s="164"/>
      <c r="H137" s="164"/>
      <c r="I137" s="164"/>
      <c r="J137" s="164"/>
      <c r="K137" s="164"/>
      <c r="L137" s="164"/>
      <c r="M137" s="165"/>
      <c r="N137" s="216"/>
    </row>
    <row r="138" ht="12.75">
      <c r="M138" s="2"/>
    </row>
    <row r="139" spans="5:14" ht="12.75">
      <c r="E139" s="132"/>
      <c r="F139" s="164"/>
      <c r="G139" s="164"/>
      <c r="H139" s="164"/>
      <c r="I139" s="164"/>
      <c r="J139" s="164"/>
      <c r="K139" s="164"/>
      <c r="L139" s="164"/>
      <c r="M139" s="2"/>
      <c r="N139" s="216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  <row r="4035" ht="12.75">
      <c r="M4035" s="2"/>
    </row>
    <row r="4036" ht="12.75">
      <c r="M4036" s="2"/>
    </row>
    <row r="4037" ht="12.75">
      <c r="M4037" s="2"/>
    </row>
    <row r="4038" ht="12.75">
      <c r="M4038" s="2"/>
    </row>
    <row r="4039" ht="12.75">
      <c r="M4039" s="2"/>
    </row>
    <row r="4040" ht="12.75">
      <c r="M4040" s="2"/>
    </row>
  </sheetData>
  <sheetProtection/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1"/>
  <sheetViews>
    <sheetView zoomScale="150" zoomScaleNormal="150" zoomScalePageLayoutView="0" workbookViewId="0" topLeftCell="F339">
      <selection activeCell="F336" sqref="A1:IV16384"/>
    </sheetView>
  </sheetViews>
  <sheetFormatPr defaultColWidth="9.140625" defaultRowHeight="12.75"/>
  <cols>
    <col min="1" max="1" width="2.00390625" style="47" customWidth="1"/>
    <col min="2" max="2" width="4.140625" style="47" customWidth="1"/>
    <col min="3" max="3" width="6.421875" style="47" customWidth="1"/>
    <col min="4" max="4" width="4.8515625" style="47" customWidth="1"/>
    <col min="5" max="5" width="41.57421875" style="47" customWidth="1"/>
    <col min="6" max="6" width="14.7109375" style="47" customWidth="1"/>
    <col min="7" max="7" width="13.140625" style="105" customWidth="1"/>
    <col min="8" max="8" width="12.00390625" style="47" hidden="1" customWidth="1"/>
    <col min="9" max="9" width="11.140625" style="47" hidden="1" customWidth="1"/>
    <col min="10" max="10" width="12.421875" style="47" hidden="1" customWidth="1"/>
    <col min="11" max="11" width="14.140625" style="47" hidden="1" customWidth="1"/>
    <col min="12" max="12" width="13.00390625" style="47" hidden="1" customWidth="1"/>
    <col min="13" max="13" width="15.140625" style="105" hidden="1" customWidth="1"/>
    <col min="14" max="14" width="0.13671875" style="105" hidden="1" customWidth="1"/>
    <col min="15" max="15" width="13.421875" style="181" customWidth="1"/>
    <col min="16" max="16" width="47.00390625" style="222" customWidth="1"/>
    <col min="17" max="16384" width="9.140625" style="47" customWidth="1"/>
  </cols>
  <sheetData>
    <row r="1" spans="2:16" ht="21.75" thickBot="1">
      <c r="B1" s="44" t="s">
        <v>224</v>
      </c>
      <c r="C1" s="45"/>
      <c r="D1" s="46"/>
      <c r="F1" s="48"/>
      <c r="G1" s="49"/>
      <c r="H1" s="48"/>
      <c r="I1" s="48"/>
      <c r="J1" s="48"/>
      <c r="K1" s="48"/>
      <c r="L1" s="48"/>
      <c r="M1" s="49"/>
      <c r="N1" s="49"/>
      <c r="O1" s="167"/>
      <c r="P1" s="182" t="s">
        <v>357</v>
      </c>
    </row>
    <row r="2" spans="2:16" s="217" customFormat="1" ht="43.5" customHeight="1" thickBot="1">
      <c r="B2" s="168" t="s">
        <v>21</v>
      </c>
      <c r="C2" s="169" t="s">
        <v>42</v>
      </c>
      <c r="D2" s="169" t="s">
        <v>23</v>
      </c>
      <c r="E2" s="169" t="s">
        <v>24</v>
      </c>
      <c r="F2" s="169" t="s">
        <v>225</v>
      </c>
      <c r="G2" s="171" t="s">
        <v>25</v>
      </c>
      <c r="H2" s="170"/>
      <c r="I2" s="170"/>
      <c r="J2" s="170"/>
      <c r="K2" s="170"/>
      <c r="L2" s="170"/>
      <c r="M2" s="171"/>
      <c r="N2" s="171" t="s">
        <v>13</v>
      </c>
      <c r="O2" s="172" t="s">
        <v>14</v>
      </c>
      <c r="P2" s="184" t="s">
        <v>26</v>
      </c>
    </row>
    <row r="3" spans="2:16" ht="12.75">
      <c r="B3" s="133"/>
      <c r="C3" s="134"/>
      <c r="D3" s="134"/>
      <c r="E3" s="134"/>
      <c r="F3" s="134"/>
      <c r="G3" s="173"/>
      <c r="H3" s="173"/>
      <c r="I3" s="173"/>
      <c r="J3" s="173"/>
      <c r="K3" s="173"/>
      <c r="L3" s="173"/>
      <c r="M3" s="173"/>
      <c r="N3" s="173"/>
      <c r="O3" s="134"/>
      <c r="P3" s="318"/>
    </row>
    <row r="4" spans="2:16" ht="12.75">
      <c r="B4" s="135" t="s">
        <v>43</v>
      </c>
      <c r="C4" s="23"/>
      <c r="D4" s="23"/>
      <c r="E4" s="24" t="s">
        <v>44</v>
      </c>
      <c r="F4" s="58">
        <f>F5+F9+F12+F14+F16</f>
        <v>1500510</v>
      </c>
      <c r="G4" s="227">
        <f>G5+G9+G12+G14+G16</f>
        <v>12000</v>
      </c>
      <c r="H4" s="116">
        <f aca="true" t="shared" si="0" ref="H4:N4">H5+H9+H12+H14+H16</f>
        <v>0</v>
      </c>
      <c r="I4" s="116">
        <f t="shared" si="0"/>
        <v>0</v>
      </c>
      <c r="J4" s="116">
        <f t="shared" si="0"/>
        <v>0</v>
      </c>
      <c r="K4" s="116">
        <f t="shared" si="0"/>
        <v>0</v>
      </c>
      <c r="L4" s="116">
        <f t="shared" si="0"/>
        <v>0</v>
      </c>
      <c r="M4" s="116">
        <f t="shared" si="0"/>
        <v>0</v>
      </c>
      <c r="N4" s="116">
        <f t="shared" si="0"/>
        <v>0</v>
      </c>
      <c r="O4" s="58">
        <f>O5+O9+O12+O14+O16</f>
        <v>1512510</v>
      </c>
      <c r="P4" s="319"/>
    </row>
    <row r="5" spans="2:16" s="50" customFormat="1" ht="12.75">
      <c r="B5" s="25"/>
      <c r="C5" s="26" t="s">
        <v>194</v>
      </c>
      <c r="D5" s="15"/>
      <c r="E5" s="18" t="s">
        <v>195</v>
      </c>
      <c r="F5" s="60">
        <f>SUM(F6:F8)</f>
        <v>50000</v>
      </c>
      <c r="G5" s="61">
        <f>SUM(G6:G8)</f>
        <v>32000</v>
      </c>
      <c r="H5" s="61">
        <f aca="true" t="shared" si="1" ref="H5:N5">SUM(H6:H8)</f>
        <v>0</v>
      </c>
      <c r="I5" s="61">
        <f t="shared" si="1"/>
        <v>0</v>
      </c>
      <c r="J5" s="61">
        <f t="shared" si="1"/>
        <v>0</v>
      </c>
      <c r="K5" s="61">
        <f t="shared" si="1"/>
        <v>0</v>
      </c>
      <c r="L5" s="61">
        <f t="shared" si="1"/>
        <v>0</v>
      </c>
      <c r="M5" s="61">
        <f t="shared" si="1"/>
        <v>0</v>
      </c>
      <c r="N5" s="61">
        <f t="shared" si="1"/>
        <v>0</v>
      </c>
      <c r="O5" s="174">
        <f>SUM(O6:O8)</f>
        <v>82000</v>
      </c>
      <c r="P5" s="320"/>
    </row>
    <row r="6" spans="2:16" s="50" customFormat="1" ht="12.75">
      <c r="B6" s="25"/>
      <c r="C6" s="27"/>
      <c r="D6" s="28">
        <v>4210</v>
      </c>
      <c r="E6" s="29" t="s">
        <v>45</v>
      </c>
      <c r="F6" s="43">
        <v>3000</v>
      </c>
      <c r="G6" s="87"/>
      <c r="H6" s="87"/>
      <c r="I6" s="87"/>
      <c r="J6" s="87"/>
      <c r="K6" s="87"/>
      <c r="L6" s="87"/>
      <c r="M6" s="87"/>
      <c r="N6" s="87"/>
      <c r="O6" s="136">
        <f>F6+G6+H6+I6+J6+K6+L6+M6+N6</f>
        <v>3000</v>
      </c>
      <c r="P6" s="218"/>
    </row>
    <row r="7" spans="2:16" s="50" customFormat="1" ht="45">
      <c r="B7" s="25"/>
      <c r="C7" s="27"/>
      <c r="D7" s="28">
        <v>4270</v>
      </c>
      <c r="E7" s="29" t="s">
        <v>46</v>
      </c>
      <c r="F7" s="43">
        <v>40000</v>
      </c>
      <c r="G7" s="87">
        <v>32000</v>
      </c>
      <c r="H7" s="87"/>
      <c r="I7" s="87"/>
      <c r="J7" s="87"/>
      <c r="K7" s="87"/>
      <c r="L7" s="87"/>
      <c r="M7" s="87"/>
      <c r="N7" s="87"/>
      <c r="O7" s="136">
        <f>F7+G7+H7+I7+J7+K7+L7+M7+N7</f>
        <v>72000</v>
      </c>
      <c r="P7" s="218" t="s">
        <v>358</v>
      </c>
    </row>
    <row r="8" spans="2:16" s="50" customFormat="1" ht="12.75">
      <c r="B8" s="25"/>
      <c r="C8" s="27"/>
      <c r="D8" s="28">
        <v>4300</v>
      </c>
      <c r="E8" s="29" t="s">
        <v>47</v>
      </c>
      <c r="F8" s="43">
        <v>7000</v>
      </c>
      <c r="G8" s="87"/>
      <c r="H8" s="87"/>
      <c r="I8" s="87"/>
      <c r="J8" s="87"/>
      <c r="K8" s="87"/>
      <c r="L8" s="87"/>
      <c r="M8" s="87"/>
      <c r="N8" s="87"/>
      <c r="O8" s="136">
        <f>F8+G8+H8+I8+J8+K8+L8+M8+N8</f>
        <v>7000</v>
      </c>
      <c r="P8" s="218"/>
    </row>
    <row r="9" spans="2:16" s="50" customFormat="1" ht="12.75">
      <c r="B9" s="25"/>
      <c r="C9" s="26" t="s">
        <v>48</v>
      </c>
      <c r="D9" s="15"/>
      <c r="E9" s="18" t="s">
        <v>49</v>
      </c>
      <c r="F9" s="60">
        <f>SUM(F10:F11)</f>
        <v>906200</v>
      </c>
      <c r="G9" s="137">
        <f>SUM(G10:G11)</f>
        <v>-20000</v>
      </c>
      <c r="H9" s="61">
        <f aca="true" t="shared" si="2" ref="H9:N9">SUM(H10:H11)</f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  <c r="O9" s="174">
        <f>SUM(O10:O11)</f>
        <v>886200</v>
      </c>
      <c r="P9" s="320"/>
    </row>
    <row r="10" spans="2:16" s="50" customFormat="1" ht="12.75">
      <c r="B10" s="25"/>
      <c r="C10" s="26"/>
      <c r="D10" s="28">
        <v>4300</v>
      </c>
      <c r="E10" s="29" t="s">
        <v>47</v>
      </c>
      <c r="F10" s="43">
        <f>10000+30500</f>
        <v>40500</v>
      </c>
      <c r="G10" s="115"/>
      <c r="H10" s="87"/>
      <c r="I10" s="87"/>
      <c r="J10" s="87"/>
      <c r="K10" s="87"/>
      <c r="L10" s="87"/>
      <c r="M10" s="87"/>
      <c r="N10" s="87"/>
      <c r="O10" s="136">
        <f>F10+G10+H10+I10+J10+K10+L10+M10+N10</f>
        <v>40500</v>
      </c>
      <c r="P10" s="218"/>
    </row>
    <row r="11" spans="2:16" s="50" customFormat="1" ht="22.5">
      <c r="B11" s="30"/>
      <c r="C11" s="27"/>
      <c r="D11" s="28">
        <v>6050</v>
      </c>
      <c r="E11" s="29" t="s">
        <v>50</v>
      </c>
      <c r="F11" s="66">
        <v>865700</v>
      </c>
      <c r="G11" s="138">
        <v>-20000</v>
      </c>
      <c r="H11" s="68"/>
      <c r="I11" s="68"/>
      <c r="J11" s="68"/>
      <c r="K11" s="68"/>
      <c r="L11" s="68"/>
      <c r="M11" s="68"/>
      <c r="N11" s="68"/>
      <c r="O11" s="136">
        <f>F11+G11+H11+I11+J11+K11+L11+M11+N11</f>
        <v>845700</v>
      </c>
      <c r="P11" s="218" t="s">
        <v>359</v>
      </c>
    </row>
    <row r="12" spans="2:16" s="50" customFormat="1" ht="51">
      <c r="B12" s="25"/>
      <c r="C12" s="26" t="s">
        <v>196</v>
      </c>
      <c r="D12" s="15"/>
      <c r="E12" s="18" t="s">
        <v>197</v>
      </c>
      <c r="F12" s="60">
        <f>SUM(F13:F13)</f>
        <v>2500</v>
      </c>
      <c r="G12" s="61">
        <f>SUM(G13:G13)</f>
        <v>0</v>
      </c>
      <c r="H12" s="61">
        <f aca="true" t="shared" si="3" ref="H12:N12">SUM(H13:H13)</f>
        <v>0</v>
      </c>
      <c r="I12" s="61">
        <f t="shared" si="3"/>
        <v>0</v>
      </c>
      <c r="J12" s="61">
        <f t="shared" si="3"/>
        <v>0</v>
      </c>
      <c r="K12" s="61">
        <f t="shared" si="3"/>
        <v>0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174">
        <f>SUM(O13:O13)</f>
        <v>2500</v>
      </c>
      <c r="P12" s="320"/>
    </row>
    <row r="13" spans="2:16" s="50" customFormat="1" ht="12.75">
      <c r="B13" s="25"/>
      <c r="C13" s="28"/>
      <c r="D13" s="28">
        <v>4300</v>
      </c>
      <c r="E13" s="29" t="s">
        <v>47</v>
      </c>
      <c r="F13" s="43">
        <v>2500</v>
      </c>
      <c r="G13" s="87"/>
      <c r="H13" s="87"/>
      <c r="I13" s="87"/>
      <c r="J13" s="87"/>
      <c r="K13" s="87"/>
      <c r="L13" s="87"/>
      <c r="M13" s="87"/>
      <c r="N13" s="87"/>
      <c r="O13" s="136">
        <f>F13+G13+H13+I13+J13+K13+L13+M13+N13</f>
        <v>2500</v>
      </c>
      <c r="P13" s="218"/>
    </row>
    <row r="14" spans="2:16" s="50" customFormat="1" ht="12.75">
      <c r="B14" s="25"/>
      <c r="C14" s="26" t="s">
        <v>198</v>
      </c>
      <c r="D14" s="28"/>
      <c r="E14" s="18" t="s">
        <v>199</v>
      </c>
      <c r="F14" s="60">
        <f aca="true" t="shared" si="4" ref="F14:N14">SUM(F15)</f>
        <v>20000</v>
      </c>
      <c r="G14" s="61">
        <f t="shared" si="4"/>
        <v>0</v>
      </c>
      <c r="H14" s="61">
        <f t="shared" si="4"/>
        <v>0</v>
      </c>
      <c r="I14" s="61">
        <f t="shared" si="4"/>
        <v>0</v>
      </c>
      <c r="J14" s="61">
        <f t="shared" si="4"/>
        <v>0</v>
      </c>
      <c r="K14" s="61">
        <f t="shared" si="4"/>
        <v>0</v>
      </c>
      <c r="L14" s="61">
        <f t="shared" si="4"/>
        <v>0</v>
      </c>
      <c r="M14" s="61">
        <f t="shared" si="4"/>
        <v>0</v>
      </c>
      <c r="N14" s="61">
        <f t="shared" si="4"/>
        <v>0</v>
      </c>
      <c r="O14" s="174">
        <f>SUM(O15)</f>
        <v>20000</v>
      </c>
      <c r="P14" s="320"/>
    </row>
    <row r="15" spans="2:16" s="50" customFormat="1" ht="25.5">
      <c r="B15" s="25"/>
      <c r="C15" s="28"/>
      <c r="D15" s="28">
        <v>2850</v>
      </c>
      <c r="E15" s="29" t="s">
        <v>200</v>
      </c>
      <c r="F15" s="43">
        <f>18500+1500</f>
        <v>20000</v>
      </c>
      <c r="G15" s="87"/>
      <c r="H15" s="87"/>
      <c r="I15" s="87"/>
      <c r="J15" s="87"/>
      <c r="K15" s="87"/>
      <c r="L15" s="87"/>
      <c r="M15" s="87"/>
      <c r="N15" s="87"/>
      <c r="O15" s="136">
        <f>F15+G15+H15+I15+J15+K15+L15+M15+N15</f>
        <v>20000</v>
      </c>
      <c r="P15" s="218"/>
    </row>
    <row r="16" spans="2:16" s="50" customFormat="1" ht="12.75">
      <c r="B16" s="25"/>
      <c r="C16" s="26" t="s">
        <v>51</v>
      </c>
      <c r="D16" s="15"/>
      <c r="E16" s="18" t="s">
        <v>40</v>
      </c>
      <c r="F16" s="60">
        <f>SUM(F17:F19)</f>
        <v>521810</v>
      </c>
      <c r="G16" s="61">
        <f>SUM(G17:G19)</f>
        <v>0</v>
      </c>
      <c r="H16" s="61">
        <f aca="true" t="shared" si="5" ref="H16:N16">SUM(H17:H19)</f>
        <v>0</v>
      </c>
      <c r="I16" s="61">
        <f t="shared" si="5"/>
        <v>0</v>
      </c>
      <c r="J16" s="61">
        <f t="shared" si="5"/>
        <v>0</v>
      </c>
      <c r="K16" s="61">
        <f t="shared" si="5"/>
        <v>0</v>
      </c>
      <c r="L16" s="61">
        <f t="shared" si="5"/>
        <v>0</v>
      </c>
      <c r="M16" s="61">
        <f t="shared" si="5"/>
        <v>0</v>
      </c>
      <c r="N16" s="61">
        <f t="shared" si="5"/>
        <v>0</v>
      </c>
      <c r="O16" s="174">
        <f>O18+O17+O19</f>
        <v>521810</v>
      </c>
      <c r="P16" s="320"/>
    </row>
    <row r="17" spans="2:16" s="50" customFormat="1" ht="16.5" customHeight="1">
      <c r="B17" s="25"/>
      <c r="C17" s="26"/>
      <c r="D17" s="28">
        <v>4210</v>
      </c>
      <c r="E17" s="29" t="s">
        <v>45</v>
      </c>
      <c r="F17" s="43">
        <v>8183</v>
      </c>
      <c r="G17" s="87"/>
      <c r="H17" s="87"/>
      <c r="I17" s="87"/>
      <c r="J17" s="87"/>
      <c r="K17" s="87"/>
      <c r="L17" s="87"/>
      <c r="M17" s="87"/>
      <c r="N17" s="87"/>
      <c r="O17" s="136">
        <f>F17+G17+H17+I17+J17+K17+L17+M17+N17</f>
        <v>8183</v>
      </c>
      <c r="P17" s="308"/>
    </row>
    <row r="18" spans="2:16" s="50" customFormat="1" ht="21" customHeight="1">
      <c r="B18" s="25"/>
      <c r="C18" s="28"/>
      <c r="D18" s="28">
        <v>4300</v>
      </c>
      <c r="E18" s="29" t="s">
        <v>47</v>
      </c>
      <c r="F18" s="43">
        <v>54500</v>
      </c>
      <c r="G18" s="87"/>
      <c r="H18" s="87"/>
      <c r="I18" s="87"/>
      <c r="J18" s="87"/>
      <c r="K18" s="87"/>
      <c r="L18" s="87"/>
      <c r="M18" s="87"/>
      <c r="N18" s="87"/>
      <c r="O18" s="136">
        <f>F18+G18+H18+I18+J18+K18+L18+M18+N18</f>
        <v>54500</v>
      </c>
      <c r="P18" s="308"/>
    </row>
    <row r="19" spans="2:16" s="50" customFormat="1" ht="22.5" customHeight="1">
      <c r="B19" s="25"/>
      <c r="C19" s="28"/>
      <c r="D19" s="10">
        <v>4430</v>
      </c>
      <c r="E19" s="12" t="s">
        <v>52</v>
      </c>
      <c r="F19" s="43">
        <v>459127</v>
      </c>
      <c r="G19" s="87"/>
      <c r="H19" s="87"/>
      <c r="I19" s="87"/>
      <c r="J19" s="87"/>
      <c r="K19" s="87"/>
      <c r="L19" s="87"/>
      <c r="M19" s="87"/>
      <c r="N19" s="87"/>
      <c r="O19" s="136">
        <f>F19+G19+H19+I19+J19+K19+L19+M19+N19</f>
        <v>459127</v>
      </c>
      <c r="P19" s="308"/>
    </row>
    <row r="20" spans="2:16" s="50" customFormat="1" ht="12.75">
      <c r="B20" s="135" t="s">
        <v>10</v>
      </c>
      <c r="C20" s="23"/>
      <c r="D20" s="23"/>
      <c r="E20" s="24" t="s">
        <v>11</v>
      </c>
      <c r="F20" s="69">
        <f>F21</f>
        <v>9000</v>
      </c>
      <c r="G20" s="70">
        <f>G21</f>
        <v>2000</v>
      </c>
      <c r="H20" s="70">
        <f aca="true" t="shared" si="6" ref="H20:N20">H21</f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6"/>
        <v>0</v>
      </c>
      <c r="O20" s="69">
        <f>O21</f>
        <v>11000</v>
      </c>
      <c r="P20" s="321"/>
    </row>
    <row r="21" spans="2:16" s="50" customFormat="1" ht="12.75">
      <c r="B21" s="25"/>
      <c r="C21" s="26" t="s">
        <v>12</v>
      </c>
      <c r="D21" s="15"/>
      <c r="E21" s="18" t="s">
        <v>40</v>
      </c>
      <c r="F21" s="60">
        <f>SUM(F22:F23)</f>
        <v>9000</v>
      </c>
      <c r="G21" s="61">
        <f>SUM(G22:G23)</f>
        <v>2000</v>
      </c>
      <c r="H21" s="61">
        <f aca="true" t="shared" si="7" ref="H21:N21">SUM(H22:H23)</f>
        <v>0</v>
      </c>
      <c r="I21" s="61">
        <f t="shared" si="7"/>
        <v>0</v>
      </c>
      <c r="J21" s="61">
        <f t="shared" si="7"/>
        <v>0</v>
      </c>
      <c r="K21" s="61">
        <f t="shared" si="7"/>
        <v>0</v>
      </c>
      <c r="L21" s="61">
        <f t="shared" si="7"/>
        <v>0</v>
      </c>
      <c r="M21" s="61">
        <f t="shared" si="7"/>
        <v>0</v>
      </c>
      <c r="N21" s="61">
        <f t="shared" si="7"/>
        <v>0</v>
      </c>
      <c r="O21" s="174">
        <f>O22+O23</f>
        <v>11000</v>
      </c>
      <c r="P21" s="320"/>
    </row>
    <row r="22" spans="2:16" s="50" customFormat="1" ht="45">
      <c r="B22" s="25"/>
      <c r="C22" s="27"/>
      <c r="D22" s="28">
        <v>4210</v>
      </c>
      <c r="E22" s="29" t="s">
        <v>45</v>
      </c>
      <c r="F22" s="43">
        <v>1500</v>
      </c>
      <c r="G22" s="87">
        <v>2000</v>
      </c>
      <c r="H22" s="87"/>
      <c r="I22" s="87"/>
      <c r="J22" s="87"/>
      <c r="K22" s="87"/>
      <c r="L22" s="87"/>
      <c r="M22" s="87"/>
      <c r="N22" s="87"/>
      <c r="O22" s="136">
        <f>F22+G22+H22+I22+J22+K22+L22+M22+N22</f>
        <v>3500</v>
      </c>
      <c r="P22" s="218" t="s">
        <v>360</v>
      </c>
    </row>
    <row r="23" spans="2:16" s="50" customFormat="1" ht="12.75">
      <c r="B23" s="25"/>
      <c r="C23" s="27"/>
      <c r="D23" s="28">
        <v>4300</v>
      </c>
      <c r="E23" s="29" t="s">
        <v>47</v>
      </c>
      <c r="F23" s="43">
        <v>7500</v>
      </c>
      <c r="G23" s="87"/>
      <c r="H23" s="87"/>
      <c r="I23" s="87"/>
      <c r="J23" s="87"/>
      <c r="K23" s="87"/>
      <c r="L23" s="87"/>
      <c r="M23" s="87"/>
      <c r="N23" s="87"/>
      <c r="O23" s="136">
        <f>F23+G23+H23+I23+J23+K23+L23+M23+N23</f>
        <v>7500</v>
      </c>
      <c r="P23" s="218"/>
    </row>
    <row r="24" spans="2:16" s="50" customFormat="1" ht="12.75">
      <c r="B24" s="31">
        <v>600</v>
      </c>
      <c r="C24" s="32"/>
      <c r="D24" s="32"/>
      <c r="E24" s="33" t="s">
        <v>53</v>
      </c>
      <c r="F24" s="69">
        <f>F28+F25</f>
        <v>1318990</v>
      </c>
      <c r="G24" s="309">
        <f>G28+G25</f>
        <v>-15200</v>
      </c>
      <c r="H24" s="70">
        <f aca="true" t="shared" si="8" ref="H24:N24">H28+H25</f>
        <v>0</v>
      </c>
      <c r="I24" s="70">
        <f t="shared" si="8"/>
        <v>0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8"/>
        <v>0</v>
      </c>
      <c r="O24" s="69">
        <f>O28+O25</f>
        <v>1303790</v>
      </c>
      <c r="P24" s="321"/>
    </row>
    <row r="25" spans="2:16" s="73" customFormat="1" ht="12.75">
      <c r="B25" s="34"/>
      <c r="C25" s="15">
        <v>60014</v>
      </c>
      <c r="D25" s="15"/>
      <c r="E25" s="18" t="s">
        <v>54</v>
      </c>
      <c r="F25" s="39">
        <f>SUM(F26:F27)</f>
        <v>250990</v>
      </c>
      <c r="G25" s="40">
        <f>SUM(G26:G27)</f>
        <v>0</v>
      </c>
      <c r="H25" s="40">
        <f aca="true" t="shared" si="9" ref="H25:N25">SUM(H26:H27)</f>
        <v>0</v>
      </c>
      <c r="I25" s="40">
        <f t="shared" si="9"/>
        <v>0</v>
      </c>
      <c r="J25" s="40">
        <f t="shared" si="9"/>
        <v>0</v>
      </c>
      <c r="K25" s="40">
        <f t="shared" si="9"/>
        <v>0</v>
      </c>
      <c r="L25" s="40">
        <f t="shared" si="9"/>
        <v>0</v>
      </c>
      <c r="M25" s="40">
        <f t="shared" si="9"/>
        <v>0</v>
      </c>
      <c r="N25" s="40">
        <f t="shared" si="9"/>
        <v>0</v>
      </c>
      <c r="O25" s="174">
        <f>SUM(O26:O27)</f>
        <v>250990</v>
      </c>
      <c r="P25" s="322"/>
    </row>
    <row r="26" spans="2:16" s="73" customFormat="1" ht="38.25">
      <c r="B26" s="34"/>
      <c r="C26" s="15"/>
      <c r="D26" s="119">
        <v>2710</v>
      </c>
      <c r="E26" s="142" t="s">
        <v>55</v>
      </c>
      <c r="F26" s="38">
        <v>114990</v>
      </c>
      <c r="G26" s="41"/>
      <c r="H26" s="41"/>
      <c r="I26" s="41"/>
      <c r="J26" s="41"/>
      <c r="K26" s="41"/>
      <c r="L26" s="41"/>
      <c r="M26" s="41"/>
      <c r="N26" s="41"/>
      <c r="O26" s="136">
        <f>F26+G26+H26+I26+J26+K26+L26+M26+N26</f>
        <v>114990</v>
      </c>
      <c r="P26" s="322"/>
    </row>
    <row r="27" spans="2:16" s="73" customFormat="1" ht="51">
      <c r="B27" s="34"/>
      <c r="C27" s="28"/>
      <c r="D27" s="28">
        <v>6300</v>
      </c>
      <c r="E27" s="29" t="s">
        <v>56</v>
      </c>
      <c r="F27" s="38">
        <v>136000</v>
      </c>
      <c r="G27" s="41"/>
      <c r="H27" s="41"/>
      <c r="I27" s="41"/>
      <c r="J27" s="41"/>
      <c r="K27" s="41"/>
      <c r="L27" s="41"/>
      <c r="M27" s="41"/>
      <c r="N27" s="41"/>
      <c r="O27" s="136">
        <f>F27+G27+H27+I27+J27+K27+L27+M27+N27</f>
        <v>136000</v>
      </c>
      <c r="P27" s="228"/>
    </row>
    <row r="28" spans="2:16" s="50" customFormat="1" ht="12.75">
      <c r="B28" s="25"/>
      <c r="C28" s="15">
        <v>60016</v>
      </c>
      <c r="D28" s="15"/>
      <c r="E28" s="18" t="s">
        <v>57</v>
      </c>
      <c r="F28" s="60">
        <f>SUM(F29:F29)</f>
        <v>1068000</v>
      </c>
      <c r="G28" s="137">
        <f>SUM(G29:G29)</f>
        <v>-15200</v>
      </c>
      <c r="H28" s="61">
        <f aca="true" t="shared" si="10" ref="H28:N28">SUM(H29:H29)</f>
        <v>0</v>
      </c>
      <c r="I28" s="61">
        <f t="shared" si="10"/>
        <v>0</v>
      </c>
      <c r="J28" s="61">
        <f t="shared" si="10"/>
        <v>0</v>
      </c>
      <c r="K28" s="61">
        <f t="shared" si="10"/>
        <v>0</v>
      </c>
      <c r="L28" s="61">
        <f t="shared" si="10"/>
        <v>0</v>
      </c>
      <c r="M28" s="61">
        <f t="shared" si="10"/>
        <v>0</v>
      </c>
      <c r="N28" s="61">
        <f t="shared" si="10"/>
        <v>0</v>
      </c>
      <c r="O28" s="174">
        <f>SUM(O29:O29)</f>
        <v>1052800</v>
      </c>
      <c r="P28" s="320"/>
    </row>
    <row r="29" spans="2:16" s="50" customFormat="1" ht="56.25">
      <c r="B29" s="30"/>
      <c r="C29" s="27"/>
      <c r="D29" s="28">
        <v>6050</v>
      </c>
      <c r="E29" s="29" t="s">
        <v>50</v>
      </c>
      <c r="F29" s="43">
        <v>1068000</v>
      </c>
      <c r="G29" s="115">
        <v>-15200</v>
      </c>
      <c r="H29" s="87"/>
      <c r="I29" s="87"/>
      <c r="J29" s="87"/>
      <c r="K29" s="87"/>
      <c r="L29" s="87"/>
      <c r="M29" s="87"/>
      <c r="N29" s="87"/>
      <c r="O29" s="136">
        <f>F29+G29+H29+I29+J29+K29+L29+M29+N29</f>
        <v>1052800</v>
      </c>
      <c r="P29" s="294" t="s">
        <v>361</v>
      </c>
    </row>
    <row r="30" spans="2:16" s="50" customFormat="1" ht="12.75">
      <c r="B30" s="31">
        <v>700</v>
      </c>
      <c r="C30" s="32"/>
      <c r="D30" s="32"/>
      <c r="E30" s="33" t="s">
        <v>27</v>
      </c>
      <c r="F30" s="69">
        <f>F34+F31</f>
        <v>1628538</v>
      </c>
      <c r="G30" s="309">
        <f>G34+G31</f>
        <v>-59727</v>
      </c>
      <c r="H30" s="70">
        <f aca="true" t="shared" si="11" ref="H30:N30">H34+H31</f>
        <v>0</v>
      </c>
      <c r="I30" s="70">
        <f t="shared" si="11"/>
        <v>0</v>
      </c>
      <c r="J30" s="70">
        <f t="shared" si="11"/>
        <v>0</v>
      </c>
      <c r="K30" s="70">
        <f t="shared" si="11"/>
        <v>0</v>
      </c>
      <c r="L30" s="70">
        <f t="shared" si="11"/>
        <v>0</v>
      </c>
      <c r="M30" s="70">
        <f t="shared" si="11"/>
        <v>0</v>
      </c>
      <c r="N30" s="70">
        <f t="shared" si="11"/>
        <v>0</v>
      </c>
      <c r="O30" s="69">
        <f>O34+O31</f>
        <v>1568811</v>
      </c>
      <c r="P30" s="321"/>
    </row>
    <row r="31" spans="2:16" s="50" customFormat="1" ht="25.5">
      <c r="B31" s="25"/>
      <c r="C31" s="15">
        <v>70004</v>
      </c>
      <c r="D31" s="15"/>
      <c r="E31" s="18" t="s">
        <v>58</v>
      </c>
      <c r="F31" s="60">
        <f>SUM(F32:F33)</f>
        <v>583230</v>
      </c>
      <c r="G31" s="137">
        <f>SUM(G32:G33)</f>
        <v>-16180</v>
      </c>
      <c r="H31" s="61">
        <f aca="true" t="shared" si="12" ref="H31:N31">SUM(H32:H32)</f>
        <v>0</v>
      </c>
      <c r="I31" s="61">
        <f t="shared" si="12"/>
        <v>0</v>
      </c>
      <c r="J31" s="61">
        <f t="shared" si="12"/>
        <v>0</v>
      </c>
      <c r="K31" s="61">
        <f t="shared" si="12"/>
        <v>0</v>
      </c>
      <c r="L31" s="61">
        <f t="shared" si="12"/>
        <v>0</v>
      </c>
      <c r="M31" s="61">
        <f t="shared" si="12"/>
        <v>0</v>
      </c>
      <c r="N31" s="61">
        <f t="shared" si="12"/>
        <v>0</v>
      </c>
      <c r="O31" s="174">
        <f>SUM(O32:O33)</f>
        <v>567050</v>
      </c>
      <c r="P31" s="320"/>
    </row>
    <row r="32" spans="2:16" s="48" customFormat="1" ht="25.5">
      <c r="B32" s="35"/>
      <c r="C32" s="36"/>
      <c r="D32" s="28">
        <v>2650</v>
      </c>
      <c r="E32" s="29" t="s">
        <v>59</v>
      </c>
      <c r="F32" s="43">
        <v>400230</v>
      </c>
      <c r="G32" s="87">
        <v>6045</v>
      </c>
      <c r="H32" s="87"/>
      <c r="I32" s="87"/>
      <c r="J32" s="87"/>
      <c r="K32" s="87"/>
      <c r="L32" s="87"/>
      <c r="M32" s="87"/>
      <c r="N32" s="87"/>
      <c r="O32" s="136">
        <f>F32+G32+H32+I32+J32+K32+L32+M32+N32</f>
        <v>406275</v>
      </c>
      <c r="P32" s="218" t="s">
        <v>362</v>
      </c>
    </row>
    <row r="33" spans="2:16" s="48" customFormat="1" ht="51" customHeight="1">
      <c r="B33" s="35"/>
      <c r="C33" s="36"/>
      <c r="D33" s="28">
        <v>6210</v>
      </c>
      <c r="E33" s="29" t="s">
        <v>60</v>
      </c>
      <c r="F33" s="43">
        <v>183000</v>
      </c>
      <c r="G33" s="115">
        <v>-22225</v>
      </c>
      <c r="H33" s="87"/>
      <c r="I33" s="87"/>
      <c r="J33" s="87"/>
      <c r="K33" s="87"/>
      <c r="L33" s="87"/>
      <c r="M33" s="87"/>
      <c r="N33" s="87"/>
      <c r="O33" s="136">
        <f>F33+G33+H33+I33+J33+K33+L33+M33+N33</f>
        <v>160775</v>
      </c>
      <c r="P33" s="218" t="s">
        <v>363</v>
      </c>
    </row>
    <row r="34" spans="2:16" s="85" customFormat="1" ht="20.25" customHeight="1">
      <c r="B34" s="34"/>
      <c r="C34" s="15">
        <v>70005</v>
      </c>
      <c r="D34" s="15"/>
      <c r="E34" s="18" t="s">
        <v>28</v>
      </c>
      <c r="F34" s="60">
        <f>SUM(F35:F37)</f>
        <v>1045308</v>
      </c>
      <c r="G34" s="137">
        <f>SUM(G35:G37)</f>
        <v>-43547</v>
      </c>
      <c r="H34" s="61">
        <f aca="true" t="shared" si="13" ref="H34:N34">SUM(H35:H37)</f>
        <v>0</v>
      </c>
      <c r="I34" s="61">
        <f t="shared" si="13"/>
        <v>0</v>
      </c>
      <c r="J34" s="61">
        <f t="shared" si="13"/>
        <v>0</v>
      </c>
      <c r="K34" s="61">
        <f t="shared" si="13"/>
        <v>0</v>
      </c>
      <c r="L34" s="61">
        <f t="shared" si="13"/>
        <v>0</v>
      </c>
      <c r="M34" s="61">
        <f t="shared" si="13"/>
        <v>0</v>
      </c>
      <c r="N34" s="61">
        <f t="shared" si="13"/>
        <v>0</v>
      </c>
      <c r="O34" s="174">
        <f>SUM(O35:O37)</f>
        <v>1001761</v>
      </c>
      <c r="P34" s="320"/>
    </row>
    <row r="35" spans="2:16" s="85" customFormat="1" ht="12.75">
      <c r="B35" s="34"/>
      <c r="C35" s="37"/>
      <c r="D35" s="28">
        <v>4300</v>
      </c>
      <c r="E35" s="29" t="s">
        <v>47</v>
      </c>
      <c r="F35" s="38">
        <v>129000</v>
      </c>
      <c r="G35" s="175"/>
      <c r="H35" s="41"/>
      <c r="I35" s="41"/>
      <c r="J35" s="41"/>
      <c r="K35" s="41"/>
      <c r="L35" s="41"/>
      <c r="M35" s="41"/>
      <c r="N35" s="41"/>
      <c r="O35" s="136">
        <f>F35+G35+H35+I35+J35+K35+L35+M35+N35</f>
        <v>129000</v>
      </c>
      <c r="P35" s="228"/>
    </row>
    <row r="36" spans="2:16" s="85" customFormat="1" ht="45">
      <c r="B36" s="34"/>
      <c r="C36" s="37"/>
      <c r="D36" s="28">
        <v>6050</v>
      </c>
      <c r="E36" s="29" t="s">
        <v>50</v>
      </c>
      <c r="F36" s="38">
        <v>280000</v>
      </c>
      <c r="G36" s="175">
        <v>-100000</v>
      </c>
      <c r="H36" s="41"/>
      <c r="I36" s="41"/>
      <c r="J36" s="41"/>
      <c r="K36" s="41"/>
      <c r="L36" s="41"/>
      <c r="M36" s="41"/>
      <c r="N36" s="41"/>
      <c r="O36" s="136">
        <f>F36+G36+H36+I36+J36+K36+L36+M36+N36</f>
        <v>180000</v>
      </c>
      <c r="P36" s="294" t="s">
        <v>364</v>
      </c>
    </row>
    <row r="37" spans="2:16" s="85" customFormat="1" ht="25.5">
      <c r="B37" s="34"/>
      <c r="C37" s="37"/>
      <c r="D37" s="28">
        <v>6060</v>
      </c>
      <c r="E37" s="29" t="s">
        <v>61</v>
      </c>
      <c r="F37" s="38">
        <v>636308</v>
      </c>
      <c r="G37" s="87">
        <f>61500-6047+1000</f>
        <v>56453</v>
      </c>
      <c r="H37" s="41"/>
      <c r="I37" s="41"/>
      <c r="J37" s="41"/>
      <c r="K37" s="41"/>
      <c r="L37" s="41"/>
      <c r="M37" s="41"/>
      <c r="N37" s="41"/>
      <c r="O37" s="136">
        <f>F37+G37+H37+I37+J37+K37+L37+M37+N37</f>
        <v>692761</v>
      </c>
      <c r="P37" s="228" t="s">
        <v>365</v>
      </c>
    </row>
    <row r="38" spans="2:16" s="50" customFormat="1" ht="12.75">
      <c r="B38" s="31">
        <v>710</v>
      </c>
      <c r="C38" s="32"/>
      <c r="D38" s="32"/>
      <c r="E38" s="33" t="s">
        <v>201</v>
      </c>
      <c r="F38" s="69">
        <f>F39+F42+F44</f>
        <v>564300</v>
      </c>
      <c r="G38" s="70">
        <f>G39+G42+G44</f>
        <v>0</v>
      </c>
      <c r="H38" s="70">
        <f aca="true" t="shared" si="14" ref="H38:N38">H39+H42+H44</f>
        <v>0</v>
      </c>
      <c r="I38" s="70">
        <f t="shared" si="14"/>
        <v>0</v>
      </c>
      <c r="J38" s="70">
        <f t="shared" si="14"/>
        <v>0</v>
      </c>
      <c r="K38" s="70">
        <f t="shared" si="14"/>
        <v>0</v>
      </c>
      <c r="L38" s="70">
        <f t="shared" si="14"/>
        <v>0</v>
      </c>
      <c r="M38" s="70">
        <f t="shared" si="14"/>
        <v>0</v>
      </c>
      <c r="N38" s="70">
        <f t="shared" si="14"/>
        <v>0</v>
      </c>
      <c r="O38" s="69">
        <f>O39+O42+O44</f>
        <v>564300</v>
      </c>
      <c r="P38" s="321"/>
    </row>
    <row r="39" spans="2:16" s="50" customFormat="1" ht="12.75">
      <c r="B39" s="25"/>
      <c r="C39" s="15">
        <v>71004</v>
      </c>
      <c r="D39" s="15"/>
      <c r="E39" s="18" t="s">
        <v>202</v>
      </c>
      <c r="F39" s="60">
        <f>SUM(F40:F41)</f>
        <v>231100</v>
      </c>
      <c r="G39" s="137">
        <f>SUM(G40:G41)</f>
        <v>-12730</v>
      </c>
      <c r="H39" s="61">
        <f aca="true" t="shared" si="15" ref="H39:N39">SUM(H40:H41)</f>
        <v>0</v>
      </c>
      <c r="I39" s="61">
        <f t="shared" si="15"/>
        <v>0</v>
      </c>
      <c r="J39" s="61">
        <f t="shared" si="15"/>
        <v>0</v>
      </c>
      <c r="K39" s="61">
        <f t="shared" si="15"/>
        <v>0</v>
      </c>
      <c r="L39" s="61">
        <f t="shared" si="15"/>
        <v>0</v>
      </c>
      <c r="M39" s="61">
        <f t="shared" si="15"/>
        <v>0</v>
      </c>
      <c r="N39" s="61">
        <f t="shared" si="15"/>
        <v>0</v>
      </c>
      <c r="O39" s="176">
        <f>SUM(O40:O41)</f>
        <v>218370</v>
      </c>
      <c r="P39" s="320"/>
    </row>
    <row r="40" spans="2:16" s="50" customFormat="1" ht="12.75">
      <c r="B40" s="25"/>
      <c r="C40" s="15"/>
      <c r="D40" s="28">
        <v>3030</v>
      </c>
      <c r="E40" s="29" t="s">
        <v>62</v>
      </c>
      <c r="F40" s="43">
        <v>22100</v>
      </c>
      <c r="G40" s="87"/>
      <c r="H40" s="87"/>
      <c r="I40" s="87"/>
      <c r="J40" s="87"/>
      <c r="K40" s="87"/>
      <c r="L40" s="87"/>
      <c r="M40" s="87"/>
      <c r="N40" s="87"/>
      <c r="O40" s="136">
        <f>F40+G40+H40+I40+J40+K40+L40+M40+N40</f>
        <v>22100</v>
      </c>
      <c r="P40" s="218"/>
    </row>
    <row r="41" spans="2:16" s="50" customFormat="1" ht="22.5">
      <c r="B41" s="25"/>
      <c r="C41" s="28"/>
      <c r="D41" s="28">
        <v>4300</v>
      </c>
      <c r="E41" s="29" t="s">
        <v>47</v>
      </c>
      <c r="F41" s="43">
        <v>209000</v>
      </c>
      <c r="G41" s="115">
        <v>-12730</v>
      </c>
      <c r="H41" s="87"/>
      <c r="I41" s="87"/>
      <c r="J41" s="87"/>
      <c r="K41" s="87"/>
      <c r="L41" s="87"/>
      <c r="M41" s="87"/>
      <c r="N41" s="87"/>
      <c r="O41" s="136">
        <f>F41+G41+H41+I41+J41+K41+L41+M41+N41</f>
        <v>196270</v>
      </c>
      <c r="P41" s="323" t="s">
        <v>366</v>
      </c>
    </row>
    <row r="42" spans="2:16" s="50" customFormat="1" ht="12.75">
      <c r="B42" s="25"/>
      <c r="C42" s="15">
        <v>71014</v>
      </c>
      <c r="D42" s="15"/>
      <c r="E42" s="18" t="s">
        <v>203</v>
      </c>
      <c r="F42" s="60">
        <f aca="true" t="shared" si="16" ref="F42:O42">SUM(F43:F43)</f>
        <v>262200</v>
      </c>
      <c r="G42" s="61">
        <f t="shared" si="16"/>
        <v>0</v>
      </c>
      <c r="H42" s="61">
        <f t="shared" si="16"/>
        <v>0</v>
      </c>
      <c r="I42" s="61">
        <f t="shared" si="16"/>
        <v>0</v>
      </c>
      <c r="J42" s="61">
        <f t="shared" si="16"/>
        <v>0</v>
      </c>
      <c r="K42" s="61">
        <f t="shared" si="16"/>
        <v>0</v>
      </c>
      <c r="L42" s="61">
        <f t="shared" si="16"/>
        <v>0</v>
      </c>
      <c r="M42" s="61">
        <f t="shared" si="16"/>
        <v>0</v>
      </c>
      <c r="N42" s="61">
        <f t="shared" si="16"/>
        <v>0</v>
      </c>
      <c r="O42" s="176">
        <f t="shared" si="16"/>
        <v>262200</v>
      </c>
      <c r="P42" s="320"/>
    </row>
    <row r="43" spans="2:16" s="50" customFormat="1" ht="12.75">
      <c r="B43" s="25"/>
      <c r="C43" s="28"/>
      <c r="D43" s="28">
        <v>4300</v>
      </c>
      <c r="E43" s="29" t="s">
        <v>47</v>
      </c>
      <c r="F43" s="43">
        <v>262200</v>
      </c>
      <c r="G43" s="87"/>
      <c r="H43" s="87"/>
      <c r="I43" s="87"/>
      <c r="J43" s="87"/>
      <c r="K43" s="87"/>
      <c r="L43" s="87"/>
      <c r="M43" s="87"/>
      <c r="N43" s="87"/>
      <c r="O43" s="136">
        <f>F43+G43+H43+I43+J43+K43+L43+M43+N43</f>
        <v>262200</v>
      </c>
      <c r="P43" s="218"/>
    </row>
    <row r="44" spans="2:16" s="50" customFormat="1" ht="12.75" customHeight="1">
      <c r="B44" s="25"/>
      <c r="C44" s="15">
        <v>71095</v>
      </c>
      <c r="D44" s="15"/>
      <c r="E44" s="18" t="s">
        <v>40</v>
      </c>
      <c r="F44" s="60">
        <f>F45</f>
        <v>71000</v>
      </c>
      <c r="G44" s="61">
        <f>G45</f>
        <v>12730</v>
      </c>
      <c r="H44" s="61">
        <f aca="true" t="shared" si="17" ref="H44:N44">H45</f>
        <v>0</v>
      </c>
      <c r="I44" s="61">
        <f t="shared" si="17"/>
        <v>0</v>
      </c>
      <c r="J44" s="61">
        <f t="shared" si="17"/>
        <v>0</v>
      </c>
      <c r="K44" s="61">
        <f t="shared" si="17"/>
        <v>0</v>
      </c>
      <c r="L44" s="61">
        <f t="shared" si="17"/>
        <v>0</v>
      </c>
      <c r="M44" s="61">
        <f t="shared" si="17"/>
        <v>0</v>
      </c>
      <c r="N44" s="61">
        <f t="shared" si="17"/>
        <v>0</v>
      </c>
      <c r="O44" s="174">
        <f>O45</f>
        <v>83730</v>
      </c>
      <c r="P44" s="320"/>
    </row>
    <row r="45" spans="2:16" s="50" customFormat="1" ht="12.75">
      <c r="B45" s="25"/>
      <c r="C45" s="28"/>
      <c r="D45" s="28">
        <v>4300</v>
      </c>
      <c r="E45" s="29" t="s">
        <v>47</v>
      </c>
      <c r="F45" s="43">
        <v>71000</v>
      </c>
      <c r="G45" s="87">
        <v>12730</v>
      </c>
      <c r="H45" s="87"/>
      <c r="I45" s="87"/>
      <c r="J45" s="87"/>
      <c r="K45" s="87"/>
      <c r="L45" s="87"/>
      <c r="M45" s="87"/>
      <c r="N45" s="87"/>
      <c r="O45" s="136">
        <f>F45+G45+H45+I45+J45+K45+L45+M45+N45</f>
        <v>83730</v>
      </c>
      <c r="P45" s="218" t="s">
        <v>367</v>
      </c>
    </row>
    <row r="46" spans="2:16" s="50" customFormat="1" ht="12.75">
      <c r="B46" s="31">
        <v>750</v>
      </c>
      <c r="C46" s="32"/>
      <c r="D46" s="32"/>
      <c r="E46" s="33" t="s">
        <v>31</v>
      </c>
      <c r="F46" s="69">
        <f>F47+F50+F59+F83</f>
        <v>2947729</v>
      </c>
      <c r="G46" s="70">
        <f>G47+G50+G59+G83</f>
        <v>78294</v>
      </c>
      <c r="H46" s="70">
        <f aca="true" t="shared" si="18" ref="H46:N46">H47+H50+H59+H83</f>
        <v>0</v>
      </c>
      <c r="I46" s="70">
        <f t="shared" si="18"/>
        <v>0</v>
      </c>
      <c r="J46" s="70">
        <f t="shared" si="18"/>
        <v>0</v>
      </c>
      <c r="K46" s="70">
        <f t="shared" si="18"/>
        <v>0</v>
      </c>
      <c r="L46" s="70">
        <f t="shared" si="18"/>
        <v>0</v>
      </c>
      <c r="M46" s="70">
        <f t="shared" si="18"/>
        <v>0</v>
      </c>
      <c r="N46" s="70">
        <f t="shared" si="18"/>
        <v>0</v>
      </c>
      <c r="O46" s="69">
        <f>O47+O50+O59+O83</f>
        <v>3026023</v>
      </c>
      <c r="P46" s="321"/>
    </row>
    <row r="47" spans="2:16" s="50" customFormat="1" ht="12.75">
      <c r="B47" s="25"/>
      <c r="C47" s="15">
        <v>75011</v>
      </c>
      <c r="D47" s="15"/>
      <c r="E47" s="18" t="s">
        <v>153</v>
      </c>
      <c r="F47" s="60">
        <f>SUM(F48:F49)</f>
        <v>57000</v>
      </c>
      <c r="G47" s="61">
        <f>SUM(G48:G49)</f>
        <v>0</v>
      </c>
      <c r="H47" s="61">
        <f aca="true" t="shared" si="19" ref="H47:N47">SUM(H48:H49)</f>
        <v>0</v>
      </c>
      <c r="I47" s="61">
        <f t="shared" si="19"/>
        <v>0</v>
      </c>
      <c r="J47" s="61">
        <f t="shared" si="19"/>
        <v>0</v>
      </c>
      <c r="K47" s="61">
        <f t="shared" si="19"/>
        <v>0</v>
      </c>
      <c r="L47" s="61">
        <f t="shared" si="19"/>
        <v>0</v>
      </c>
      <c r="M47" s="61">
        <f t="shared" si="19"/>
        <v>0</v>
      </c>
      <c r="N47" s="61">
        <f t="shared" si="19"/>
        <v>0</v>
      </c>
      <c r="O47" s="174">
        <f>SUM(O48:O49)</f>
        <v>57000</v>
      </c>
      <c r="P47" s="320"/>
    </row>
    <row r="48" spans="2:16" s="50" customFormat="1" ht="12.75">
      <c r="B48" s="25"/>
      <c r="C48" s="28"/>
      <c r="D48" s="28">
        <v>4010</v>
      </c>
      <c r="E48" s="29" t="s">
        <v>63</v>
      </c>
      <c r="F48" s="43">
        <v>48676</v>
      </c>
      <c r="G48" s="87"/>
      <c r="H48" s="87"/>
      <c r="I48" s="87"/>
      <c r="J48" s="87"/>
      <c r="K48" s="87"/>
      <c r="L48" s="87"/>
      <c r="M48" s="87"/>
      <c r="N48" s="87"/>
      <c r="O48" s="136">
        <f>F48+G48+H48+I48+J48+K48+L48+M48+N48</f>
        <v>48676</v>
      </c>
      <c r="P48" s="218"/>
    </row>
    <row r="49" spans="2:16" s="50" customFormat="1" ht="12.75">
      <c r="B49" s="25"/>
      <c r="C49" s="28"/>
      <c r="D49" s="28">
        <v>4110</v>
      </c>
      <c r="E49" s="29" t="s">
        <v>64</v>
      </c>
      <c r="F49" s="43">
        <v>8324</v>
      </c>
      <c r="G49" s="87"/>
      <c r="H49" s="87"/>
      <c r="I49" s="87"/>
      <c r="J49" s="87"/>
      <c r="K49" s="87"/>
      <c r="L49" s="87"/>
      <c r="M49" s="87"/>
      <c r="N49" s="87"/>
      <c r="O49" s="136">
        <f>F49+G49+H49+I49+J49+K49+L49+M49+N49</f>
        <v>8324</v>
      </c>
      <c r="P49" s="218"/>
    </row>
    <row r="50" spans="2:16" s="50" customFormat="1" ht="12.75">
      <c r="B50" s="25"/>
      <c r="C50" s="15">
        <v>75022</v>
      </c>
      <c r="D50" s="15"/>
      <c r="E50" s="18" t="s">
        <v>154</v>
      </c>
      <c r="F50" s="60">
        <f>SUM(F52:F58)</f>
        <v>253100</v>
      </c>
      <c r="G50" s="61">
        <f>SUM(G52:G58)</f>
        <v>8000</v>
      </c>
      <c r="H50" s="61">
        <f aca="true" t="shared" si="20" ref="H50:N50">SUM(H52:H57)</f>
        <v>0</v>
      </c>
      <c r="I50" s="61">
        <f t="shared" si="20"/>
        <v>0</v>
      </c>
      <c r="J50" s="61">
        <f t="shared" si="20"/>
        <v>0</v>
      </c>
      <c r="K50" s="61">
        <f t="shared" si="20"/>
        <v>0</v>
      </c>
      <c r="L50" s="61">
        <f t="shared" si="20"/>
        <v>0</v>
      </c>
      <c r="M50" s="61">
        <f t="shared" si="20"/>
        <v>0</v>
      </c>
      <c r="N50" s="61">
        <f t="shared" si="20"/>
        <v>0</v>
      </c>
      <c r="O50" s="174">
        <f>SUM(O51:O58)</f>
        <v>261100</v>
      </c>
      <c r="P50" s="320"/>
    </row>
    <row r="51" spans="2:16" s="50" customFormat="1" ht="38.25">
      <c r="B51" s="25"/>
      <c r="C51" s="15"/>
      <c r="D51" s="28">
        <v>2710</v>
      </c>
      <c r="E51" s="29" t="s">
        <v>55</v>
      </c>
      <c r="F51" s="60"/>
      <c r="G51" s="61"/>
      <c r="H51" s="61"/>
      <c r="I51" s="61"/>
      <c r="J51" s="61"/>
      <c r="K51" s="61"/>
      <c r="L51" s="61"/>
      <c r="M51" s="61"/>
      <c r="N51" s="61"/>
      <c r="O51" s="136">
        <f aca="true" t="shared" si="21" ref="O51:O58">F51+G51+H51+I51+J51+K51+L51+M51+N51</f>
        <v>0</v>
      </c>
      <c r="P51" s="320"/>
    </row>
    <row r="52" spans="2:16" s="50" customFormat="1" ht="12.75">
      <c r="B52" s="25"/>
      <c r="C52" s="28"/>
      <c r="D52" s="28">
        <v>3030</v>
      </c>
      <c r="E52" s="29" t="s">
        <v>62</v>
      </c>
      <c r="F52" s="43">
        <v>129000</v>
      </c>
      <c r="G52" s="87"/>
      <c r="H52" s="87"/>
      <c r="I52" s="87"/>
      <c r="J52" s="87"/>
      <c r="K52" s="87"/>
      <c r="L52" s="87"/>
      <c r="M52" s="87"/>
      <c r="N52" s="87"/>
      <c r="O52" s="136">
        <f t="shared" si="21"/>
        <v>129000</v>
      </c>
      <c r="P52" s="218"/>
    </row>
    <row r="53" spans="2:16" s="50" customFormat="1" ht="12.75">
      <c r="B53" s="25"/>
      <c r="C53" s="28"/>
      <c r="D53" s="28">
        <v>4210</v>
      </c>
      <c r="E53" s="29" t="s">
        <v>45</v>
      </c>
      <c r="F53" s="43">
        <f>2500+29500+200+400</f>
        <v>32600</v>
      </c>
      <c r="G53" s="87">
        <v>8000</v>
      </c>
      <c r="H53" s="87"/>
      <c r="I53" s="87"/>
      <c r="J53" s="87"/>
      <c r="K53" s="87"/>
      <c r="L53" s="87"/>
      <c r="M53" s="87"/>
      <c r="N53" s="87"/>
      <c r="O53" s="136">
        <f t="shared" si="21"/>
        <v>40600</v>
      </c>
      <c r="P53" s="218" t="s">
        <v>368</v>
      </c>
    </row>
    <row r="54" spans="2:16" s="50" customFormat="1" ht="12.75">
      <c r="B54" s="25"/>
      <c r="C54" s="28"/>
      <c r="D54" s="28">
        <v>4260</v>
      </c>
      <c r="E54" s="29" t="s">
        <v>65</v>
      </c>
      <c r="F54" s="43">
        <v>6000</v>
      </c>
      <c r="G54" s="87"/>
      <c r="H54" s="87"/>
      <c r="I54" s="87"/>
      <c r="J54" s="87"/>
      <c r="K54" s="87"/>
      <c r="L54" s="87"/>
      <c r="M54" s="87"/>
      <c r="N54" s="87"/>
      <c r="O54" s="136">
        <f t="shared" si="21"/>
        <v>6000</v>
      </c>
      <c r="P54" s="218"/>
    </row>
    <row r="55" spans="2:16" s="50" customFormat="1" ht="12.75">
      <c r="B55" s="25"/>
      <c r="C55" s="28"/>
      <c r="D55" s="28">
        <v>4300</v>
      </c>
      <c r="E55" s="29" t="s">
        <v>47</v>
      </c>
      <c r="F55" s="43">
        <v>83000</v>
      </c>
      <c r="G55" s="87"/>
      <c r="H55" s="87"/>
      <c r="I55" s="87"/>
      <c r="J55" s="87"/>
      <c r="K55" s="87"/>
      <c r="L55" s="87"/>
      <c r="M55" s="87"/>
      <c r="N55" s="87"/>
      <c r="O55" s="136">
        <f t="shared" si="21"/>
        <v>83000</v>
      </c>
      <c r="P55" s="218"/>
    </row>
    <row r="56" spans="2:16" s="50" customFormat="1" ht="12.75">
      <c r="B56" s="25"/>
      <c r="C56" s="28"/>
      <c r="D56" s="28">
        <v>4410</v>
      </c>
      <c r="E56" s="29" t="s">
        <v>66</v>
      </c>
      <c r="F56" s="43">
        <v>1000</v>
      </c>
      <c r="G56" s="87"/>
      <c r="H56" s="87"/>
      <c r="I56" s="87"/>
      <c r="J56" s="87"/>
      <c r="K56" s="87"/>
      <c r="L56" s="87"/>
      <c r="M56" s="87"/>
      <c r="N56" s="87"/>
      <c r="O56" s="136">
        <f t="shared" si="21"/>
        <v>1000</v>
      </c>
      <c r="P56" s="218"/>
    </row>
    <row r="57" spans="2:16" s="50" customFormat="1" ht="12.75">
      <c r="B57" s="25"/>
      <c r="C57" s="28"/>
      <c r="D57" s="28">
        <v>4420</v>
      </c>
      <c r="E57" s="29" t="s">
        <v>155</v>
      </c>
      <c r="F57" s="43">
        <v>500</v>
      </c>
      <c r="G57" s="87"/>
      <c r="H57" s="87"/>
      <c r="I57" s="87"/>
      <c r="J57" s="87"/>
      <c r="K57" s="87"/>
      <c r="L57" s="87"/>
      <c r="M57" s="87"/>
      <c r="N57" s="87"/>
      <c r="O57" s="136">
        <f t="shared" si="21"/>
        <v>500</v>
      </c>
      <c r="P57" s="218"/>
    </row>
    <row r="58" spans="2:16" s="50" customFormat="1" ht="25.5">
      <c r="B58" s="25"/>
      <c r="C58" s="28"/>
      <c r="D58" s="28">
        <v>4700</v>
      </c>
      <c r="E58" s="29" t="s">
        <v>226</v>
      </c>
      <c r="F58" s="43">
        <v>1000</v>
      </c>
      <c r="G58" s="87"/>
      <c r="H58" s="87"/>
      <c r="I58" s="87"/>
      <c r="J58" s="87"/>
      <c r="K58" s="87"/>
      <c r="L58" s="87"/>
      <c r="M58" s="87"/>
      <c r="N58" s="87"/>
      <c r="O58" s="136">
        <f t="shared" si="21"/>
        <v>1000</v>
      </c>
      <c r="P58" s="218"/>
    </row>
    <row r="59" spans="2:16" s="50" customFormat="1" ht="12.75">
      <c r="B59" s="25"/>
      <c r="C59" s="15">
        <v>75023</v>
      </c>
      <c r="D59" s="15"/>
      <c r="E59" s="18" t="s">
        <v>33</v>
      </c>
      <c r="F59" s="60">
        <f>SUM(F60:F82)</f>
        <v>2094950</v>
      </c>
      <c r="G59" s="61">
        <f>SUM(G60:G82)</f>
        <v>66000</v>
      </c>
      <c r="H59" s="61">
        <f aca="true" t="shared" si="22" ref="H59:N59">SUM(H60:H82)</f>
        <v>0</v>
      </c>
      <c r="I59" s="61">
        <f t="shared" si="22"/>
        <v>0</v>
      </c>
      <c r="J59" s="61">
        <f t="shared" si="22"/>
        <v>0</v>
      </c>
      <c r="K59" s="61">
        <f t="shared" si="22"/>
        <v>0</v>
      </c>
      <c r="L59" s="61">
        <f t="shared" si="22"/>
        <v>0</v>
      </c>
      <c r="M59" s="61">
        <f t="shared" si="22"/>
        <v>0</v>
      </c>
      <c r="N59" s="61">
        <f t="shared" si="22"/>
        <v>0</v>
      </c>
      <c r="O59" s="174">
        <f>SUM(O60:O82)</f>
        <v>2160950</v>
      </c>
      <c r="P59" s="320"/>
    </row>
    <row r="60" spans="2:16" s="50" customFormat="1" ht="25.5">
      <c r="B60" s="25"/>
      <c r="C60" s="28"/>
      <c r="D60" s="28">
        <v>3020</v>
      </c>
      <c r="E60" s="29" t="s">
        <v>67</v>
      </c>
      <c r="F60" s="43">
        <v>10650</v>
      </c>
      <c r="G60" s="87"/>
      <c r="H60" s="87"/>
      <c r="I60" s="87"/>
      <c r="J60" s="87"/>
      <c r="K60" s="87"/>
      <c r="L60" s="87"/>
      <c r="M60" s="87"/>
      <c r="N60" s="87"/>
      <c r="O60" s="136">
        <f aca="true" t="shared" si="23" ref="O60:O82">F60+G60+H60+I60+J60+K60+L60+M60+N60</f>
        <v>10650</v>
      </c>
      <c r="P60" s="218"/>
    </row>
    <row r="61" spans="2:16" s="50" customFormat="1" ht="22.5" customHeight="1">
      <c r="B61" s="25"/>
      <c r="C61" s="28"/>
      <c r="D61" s="28">
        <v>4010</v>
      </c>
      <c r="E61" s="29" t="s">
        <v>63</v>
      </c>
      <c r="F61" s="43">
        <v>1248200</v>
      </c>
      <c r="G61" s="87"/>
      <c r="H61" s="87"/>
      <c r="I61" s="87"/>
      <c r="J61" s="87"/>
      <c r="K61" s="87"/>
      <c r="L61" s="87"/>
      <c r="M61" s="87"/>
      <c r="N61" s="87"/>
      <c r="O61" s="136">
        <f t="shared" si="23"/>
        <v>1248200</v>
      </c>
      <c r="P61" s="218"/>
    </row>
    <row r="62" spans="2:16" s="50" customFormat="1" ht="12.75">
      <c r="B62" s="25"/>
      <c r="C62" s="28"/>
      <c r="D62" s="28">
        <v>4040</v>
      </c>
      <c r="E62" s="29" t="s">
        <v>68</v>
      </c>
      <c r="F62" s="43">
        <v>84311</v>
      </c>
      <c r="G62" s="87"/>
      <c r="H62" s="87"/>
      <c r="I62" s="87"/>
      <c r="J62" s="87"/>
      <c r="K62" s="87"/>
      <c r="L62" s="87"/>
      <c r="M62" s="87"/>
      <c r="N62" s="87"/>
      <c r="O62" s="136">
        <f t="shared" si="23"/>
        <v>84311</v>
      </c>
      <c r="P62" s="218"/>
    </row>
    <row r="63" spans="2:16" s="50" customFormat="1" ht="12.75">
      <c r="B63" s="25"/>
      <c r="C63" s="28"/>
      <c r="D63" s="28">
        <v>4110</v>
      </c>
      <c r="E63" s="29" t="s">
        <v>64</v>
      </c>
      <c r="F63" s="43">
        <v>198000</v>
      </c>
      <c r="G63" s="87"/>
      <c r="H63" s="87"/>
      <c r="I63" s="87"/>
      <c r="J63" s="87"/>
      <c r="K63" s="87"/>
      <c r="L63" s="87"/>
      <c r="M63" s="87"/>
      <c r="N63" s="87"/>
      <c r="O63" s="136">
        <f t="shared" si="23"/>
        <v>198000</v>
      </c>
      <c r="P63" s="218"/>
    </row>
    <row r="64" spans="2:16" s="50" customFormat="1" ht="12.75">
      <c r="B64" s="25"/>
      <c r="C64" s="28"/>
      <c r="D64" s="28">
        <v>4120</v>
      </c>
      <c r="E64" s="29" t="s">
        <v>156</v>
      </c>
      <c r="F64" s="43">
        <v>35589</v>
      </c>
      <c r="G64" s="87"/>
      <c r="H64" s="87"/>
      <c r="I64" s="87"/>
      <c r="J64" s="87"/>
      <c r="K64" s="87"/>
      <c r="L64" s="87"/>
      <c r="M64" s="87"/>
      <c r="N64" s="87"/>
      <c r="O64" s="136">
        <f t="shared" si="23"/>
        <v>35589</v>
      </c>
      <c r="P64" s="218"/>
    </row>
    <row r="65" spans="2:16" s="50" customFormat="1" ht="16.5" customHeight="1">
      <c r="B65" s="25"/>
      <c r="C65" s="28"/>
      <c r="D65" s="28">
        <v>4170</v>
      </c>
      <c r="E65" s="29" t="s">
        <v>69</v>
      </c>
      <c r="F65" s="43">
        <v>8700</v>
      </c>
      <c r="G65" s="87"/>
      <c r="H65" s="87"/>
      <c r="I65" s="87"/>
      <c r="J65" s="87"/>
      <c r="K65" s="87"/>
      <c r="L65" s="87"/>
      <c r="M65" s="87"/>
      <c r="N65" s="87"/>
      <c r="O65" s="136">
        <f t="shared" si="23"/>
        <v>8700</v>
      </c>
      <c r="P65" s="218"/>
    </row>
    <row r="66" spans="2:16" s="50" customFormat="1" ht="22.5" customHeight="1">
      <c r="B66" s="25"/>
      <c r="C66" s="28"/>
      <c r="D66" s="28">
        <v>4210</v>
      </c>
      <c r="E66" s="29" t="s">
        <v>45</v>
      </c>
      <c r="F66" s="43">
        <f>18000+6000+13000+7100+27100+3000+5000</f>
        <v>79200</v>
      </c>
      <c r="G66" s="87">
        <v>20000</v>
      </c>
      <c r="H66" s="87"/>
      <c r="I66" s="87"/>
      <c r="J66" s="87"/>
      <c r="K66" s="87"/>
      <c r="L66" s="87"/>
      <c r="M66" s="87"/>
      <c r="N66" s="87"/>
      <c r="O66" s="136">
        <f t="shared" si="23"/>
        <v>99200</v>
      </c>
      <c r="P66" s="381" t="s">
        <v>369</v>
      </c>
    </row>
    <row r="67" spans="2:16" s="50" customFormat="1" ht="12.75">
      <c r="B67" s="25"/>
      <c r="C67" s="28"/>
      <c r="D67" s="28">
        <v>4260</v>
      </c>
      <c r="E67" s="29" t="s">
        <v>65</v>
      </c>
      <c r="F67" s="43">
        <v>35000</v>
      </c>
      <c r="G67" s="87">
        <v>15000</v>
      </c>
      <c r="H67" s="87"/>
      <c r="I67" s="87"/>
      <c r="J67" s="87"/>
      <c r="K67" s="87"/>
      <c r="L67" s="87"/>
      <c r="M67" s="87"/>
      <c r="N67" s="87"/>
      <c r="O67" s="136">
        <f t="shared" si="23"/>
        <v>50000</v>
      </c>
      <c r="P67" s="382"/>
    </row>
    <row r="68" spans="2:16" s="50" customFormat="1" ht="12.75">
      <c r="B68" s="25"/>
      <c r="C68" s="28"/>
      <c r="D68" s="28">
        <v>4270</v>
      </c>
      <c r="E68" s="29" t="s">
        <v>46</v>
      </c>
      <c r="F68" s="43">
        <f>15000+43100+7000</f>
        <v>65100</v>
      </c>
      <c r="G68" s="87"/>
      <c r="H68" s="87"/>
      <c r="I68" s="87"/>
      <c r="J68" s="87"/>
      <c r="K68" s="87"/>
      <c r="L68" s="87"/>
      <c r="M68" s="87"/>
      <c r="N68" s="87"/>
      <c r="O68" s="136">
        <f t="shared" si="23"/>
        <v>65100</v>
      </c>
      <c r="P68" s="382"/>
    </row>
    <row r="69" spans="2:16" s="50" customFormat="1" ht="19.5" customHeight="1">
      <c r="B69" s="25"/>
      <c r="C69" s="28"/>
      <c r="D69" s="28">
        <v>4280</v>
      </c>
      <c r="E69" s="29" t="s">
        <v>70</v>
      </c>
      <c r="F69" s="43">
        <v>3400</v>
      </c>
      <c r="G69" s="87"/>
      <c r="H69" s="87"/>
      <c r="I69" s="87"/>
      <c r="J69" s="87"/>
      <c r="K69" s="87"/>
      <c r="L69" s="87"/>
      <c r="M69" s="87"/>
      <c r="N69" s="87"/>
      <c r="O69" s="136">
        <f t="shared" si="23"/>
        <v>3400</v>
      </c>
      <c r="P69" s="382"/>
    </row>
    <row r="70" spans="2:16" s="50" customFormat="1" ht="12.75">
      <c r="B70" s="25"/>
      <c r="C70" s="28"/>
      <c r="D70" s="28">
        <v>4300</v>
      </c>
      <c r="E70" s="29" t="s">
        <v>47</v>
      </c>
      <c r="F70" s="43">
        <v>78400</v>
      </c>
      <c r="G70" s="87">
        <v>20000</v>
      </c>
      <c r="H70" s="87"/>
      <c r="I70" s="87"/>
      <c r="J70" s="87"/>
      <c r="K70" s="87"/>
      <c r="L70" s="87"/>
      <c r="M70" s="87"/>
      <c r="N70" s="87"/>
      <c r="O70" s="136">
        <f t="shared" si="23"/>
        <v>98400</v>
      </c>
      <c r="P70" s="382"/>
    </row>
    <row r="71" spans="2:16" s="50" customFormat="1" ht="12.75">
      <c r="B71" s="25"/>
      <c r="C71" s="28"/>
      <c r="D71" s="28">
        <v>4350</v>
      </c>
      <c r="E71" s="29" t="s">
        <v>71</v>
      </c>
      <c r="F71" s="43">
        <v>4500</v>
      </c>
      <c r="G71" s="87"/>
      <c r="H71" s="87"/>
      <c r="I71" s="87"/>
      <c r="J71" s="87"/>
      <c r="K71" s="87"/>
      <c r="L71" s="87"/>
      <c r="M71" s="87"/>
      <c r="N71" s="87"/>
      <c r="O71" s="136">
        <f t="shared" si="23"/>
        <v>4500</v>
      </c>
      <c r="P71" s="382"/>
    </row>
    <row r="72" spans="2:16" s="50" customFormat="1" ht="25.5">
      <c r="B72" s="25"/>
      <c r="C72" s="28"/>
      <c r="D72" s="28">
        <v>4360</v>
      </c>
      <c r="E72" s="29" t="s">
        <v>72</v>
      </c>
      <c r="F72" s="43">
        <v>5000</v>
      </c>
      <c r="G72" s="87"/>
      <c r="H72" s="87"/>
      <c r="I72" s="87"/>
      <c r="J72" s="87"/>
      <c r="K72" s="87"/>
      <c r="L72" s="87"/>
      <c r="M72" s="87"/>
      <c r="N72" s="87"/>
      <c r="O72" s="136">
        <f t="shared" si="23"/>
        <v>5000</v>
      </c>
      <c r="P72" s="382"/>
    </row>
    <row r="73" spans="2:16" s="50" customFormat="1" ht="25.5">
      <c r="B73" s="25"/>
      <c r="C73" s="28"/>
      <c r="D73" s="28">
        <v>4370</v>
      </c>
      <c r="E73" s="29" t="s">
        <v>73</v>
      </c>
      <c r="F73" s="43">
        <v>29000</v>
      </c>
      <c r="G73" s="87"/>
      <c r="H73" s="87"/>
      <c r="I73" s="87"/>
      <c r="J73" s="87"/>
      <c r="K73" s="87"/>
      <c r="L73" s="87"/>
      <c r="M73" s="87"/>
      <c r="N73" s="87"/>
      <c r="O73" s="136">
        <f t="shared" si="23"/>
        <v>29000</v>
      </c>
      <c r="P73" s="382"/>
    </row>
    <row r="74" spans="2:16" s="50" customFormat="1" ht="12.75">
      <c r="B74" s="25"/>
      <c r="C74" s="28"/>
      <c r="D74" s="28">
        <v>4410</v>
      </c>
      <c r="E74" s="29" t="s">
        <v>66</v>
      </c>
      <c r="F74" s="43">
        <v>38000</v>
      </c>
      <c r="G74" s="87"/>
      <c r="H74" s="87"/>
      <c r="I74" s="87"/>
      <c r="J74" s="87"/>
      <c r="K74" s="87"/>
      <c r="L74" s="87"/>
      <c r="M74" s="87"/>
      <c r="N74" s="87"/>
      <c r="O74" s="136">
        <f t="shared" si="23"/>
        <v>38000</v>
      </c>
      <c r="P74" s="382"/>
    </row>
    <row r="75" spans="2:16" s="50" customFormat="1" ht="16.5" customHeight="1">
      <c r="B75" s="25"/>
      <c r="C75" s="28"/>
      <c r="D75" s="28">
        <v>4420</v>
      </c>
      <c r="E75" s="29" t="s">
        <v>227</v>
      </c>
      <c r="F75" s="43">
        <v>500</v>
      </c>
      <c r="G75" s="87"/>
      <c r="H75" s="87"/>
      <c r="I75" s="87"/>
      <c r="J75" s="87"/>
      <c r="K75" s="87"/>
      <c r="L75" s="87"/>
      <c r="M75" s="87"/>
      <c r="N75" s="87"/>
      <c r="O75" s="136">
        <f t="shared" si="23"/>
        <v>500</v>
      </c>
      <c r="P75" s="382"/>
    </row>
    <row r="76" spans="2:16" s="50" customFormat="1" ht="12.75">
      <c r="B76" s="25"/>
      <c r="C76" s="28"/>
      <c r="D76" s="28">
        <v>4430</v>
      </c>
      <c r="E76" s="29" t="s">
        <v>52</v>
      </c>
      <c r="F76" s="43">
        <v>21300</v>
      </c>
      <c r="G76" s="87"/>
      <c r="H76" s="87"/>
      <c r="I76" s="87"/>
      <c r="J76" s="87"/>
      <c r="K76" s="87"/>
      <c r="L76" s="87"/>
      <c r="M76" s="87"/>
      <c r="N76" s="87"/>
      <c r="O76" s="136">
        <f t="shared" si="23"/>
        <v>21300</v>
      </c>
      <c r="P76" s="382"/>
    </row>
    <row r="77" spans="2:16" s="50" customFormat="1" ht="25.5">
      <c r="B77" s="25"/>
      <c r="C77" s="28"/>
      <c r="D77" s="28">
        <v>4440</v>
      </c>
      <c r="E77" s="29" t="s">
        <v>74</v>
      </c>
      <c r="F77" s="43">
        <v>38100</v>
      </c>
      <c r="G77" s="87"/>
      <c r="H77" s="87"/>
      <c r="I77" s="87"/>
      <c r="J77" s="87"/>
      <c r="K77" s="87"/>
      <c r="L77" s="87"/>
      <c r="M77" s="87"/>
      <c r="N77" s="87"/>
      <c r="O77" s="136">
        <f t="shared" si="23"/>
        <v>38100</v>
      </c>
      <c r="P77" s="382"/>
    </row>
    <row r="78" spans="2:16" s="50" customFormat="1" ht="28.5" customHeight="1">
      <c r="B78" s="25"/>
      <c r="C78" s="28"/>
      <c r="D78" s="28">
        <v>4700</v>
      </c>
      <c r="E78" s="29" t="s">
        <v>226</v>
      </c>
      <c r="F78" s="43">
        <v>15000</v>
      </c>
      <c r="G78" s="87">
        <v>7000</v>
      </c>
      <c r="H78" s="87"/>
      <c r="I78" s="87"/>
      <c r="J78" s="87"/>
      <c r="K78" s="87"/>
      <c r="L78" s="87"/>
      <c r="M78" s="87"/>
      <c r="N78" s="87"/>
      <c r="O78" s="136">
        <f t="shared" si="23"/>
        <v>22000</v>
      </c>
      <c r="P78" s="382"/>
    </row>
    <row r="79" spans="2:16" s="50" customFormat="1" ht="25.5">
      <c r="B79" s="25"/>
      <c r="C79" s="28"/>
      <c r="D79" s="28">
        <v>4740</v>
      </c>
      <c r="E79" s="29" t="s">
        <v>75</v>
      </c>
      <c r="F79" s="43">
        <v>11000</v>
      </c>
      <c r="G79" s="87"/>
      <c r="H79" s="87"/>
      <c r="I79" s="87"/>
      <c r="J79" s="87"/>
      <c r="K79" s="87"/>
      <c r="L79" s="87"/>
      <c r="M79" s="87"/>
      <c r="N79" s="87"/>
      <c r="O79" s="136">
        <f t="shared" si="23"/>
        <v>11000</v>
      </c>
      <c r="P79" s="382"/>
    </row>
    <row r="80" spans="2:16" s="50" customFormat="1" ht="25.5">
      <c r="B80" s="25"/>
      <c r="C80" s="28"/>
      <c r="D80" s="28">
        <v>4750</v>
      </c>
      <c r="E80" s="29" t="s">
        <v>76</v>
      </c>
      <c r="F80" s="43">
        <v>24000</v>
      </c>
      <c r="G80" s="87">
        <v>9000</v>
      </c>
      <c r="H80" s="87"/>
      <c r="I80" s="87"/>
      <c r="J80" s="87"/>
      <c r="K80" s="87"/>
      <c r="L80" s="87"/>
      <c r="M80" s="87"/>
      <c r="N80" s="87"/>
      <c r="O80" s="136">
        <f t="shared" si="23"/>
        <v>33000</v>
      </c>
      <c r="P80" s="383"/>
    </row>
    <row r="81" spans="2:16" s="50" customFormat="1" ht="33.75">
      <c r="B81" s="25"/>
      <c r="C81" s="28"/>
      <c r="D81" s="28">
        <v>6050</v>
      </c>
      <c r="E81" s="29" t="s">
        <v>50</v>
      </c>
      <c r="F81" s="43">
        <v>20000</v>
      </c>
      <c r="G81" s="115">
        <v>-5000</v>
      </c>
      <c r="H81" s="87"/>
      <c r="I81" s="87"/>
      <c r="J81" s="87"/>
      <c r="K81" s="87"/>
      <c r="L81" s="87"/>
      <c r="M81" s="87"/>
      <c r="N81" s="87"/>
      <c r="O81" s="136">
        <f t="shared" si="23"/>
        <v>15000</v>
      </c>
      <c r="P81" s="218" t="s">
        <v>370</v>
      </c>
    </row>
    <row r="82" spans="2:16" s="50" customFormat="1" ht="25.5">
      <c r="B82" s="25"/>
      <c r="C82" s="28"/>
      <c r="D82" s="28">
        <v>6060</v>
      </c>
      <c r="E82" s="29" t="s">
        <v>61</v>
      </c>
      <c r="F82" s="43">
        <f>12000+90000-60000</f>
        <v>42000</v>
      </c>
      <c r="G82" s="87"/>
      <c r="H82" s="87"/>
      <c r="I82" s="87"/>
      <c r="J82" s="87"/>
      <c r="K82" s="87"/>
      <c r="L82" s="87"/>
      <c r="M82" s="87"/>
      <c r="N82" s="87"/>
      <c r="O82" s="136">
        <f t="shared" si="23"/>
        <v>42000</v>
      </c>
      <c r="P82" s="218"/>
    </row>
    <row r="83" spans="2:16" s="50" customFormat="1" ht="12.75">
      <c r="B83" s="25"/>
      <c r="C83" s="15">
        <v>75095</v>
      </c>
      <c r="D83" s="15"/>
      <c r="E83" s="18" t="s">
        <v>40</v>
      </c>
      <c r="F83" s="60">
        <f>SUM(F84:F90)</f>
        <v>542679</v>
      </c>
      <c r="G83" s="61">
        <f>SUM(G84:G90)</f>
        <v>4294</v>
      </c>
      <c r="H83" s="61">
        <f aca="true" t="shared" si="24" ref="H83:N83">SUM(H85:H90)</f>
        <v>0</v>
      </c>
      <c r="I83" s="61">
        <f t="shared" si="24"/>
        <v>0</v>
      </c>
      <c r="J83" s="61">
        <f t="shared" si="24"/>
        <v>0</v>
      </c>
      <c r="K83" s="61">
        <f t="shared" si="24"/>
        <v>0</v>
      </c>
      <c r="L83" s="61">
        <f t="shared" si="24"/>
        <v>0</v>
      </c>
      <c r="M83" s="61">
        <f t="shared" si="24"/>
        <v>0</v>
      </c>
      <c r="N83" s="61">
        <f t="shared" si="24"/>
        <v>0</v>
      </c>
      <c r="O83" s="174">
        <f>SUM(O84:P90)</f>
        <v>546973</v>
      </c>
      <c r="P83" s="320"/>
    </row>
    <row r="84" spans="2:16" s="50" customFormat="1" ht="33.75">
      <c r="B84" s="25"/>
      <c r="C84" s="15"/>
      <c r="D84" s="28">
        <v>4170</v>
      </c>
      <c r="E84" s="29" t="s">
        <v>69</v>
      </c>
      <c r="F84" s="43">
        <v>1654</v>
      </c>
      <c r="G84" s="87">
        <v>220</v>
      </c>
      <c r="H84" s="61"/>
      <c r="I84" s="61"/>
      <c r="J84" s="61"/>
      <c r="K84" s="61"/>
      <c r="L84" s="61"/>
      <c r="M84" s="61"/>
      <c r="N84" s="61"/>
      <c r="O84" s="136">
        <f aca="true" t="shared" si="25" ref="O84:O90">F84+G84+H84+I84+J84+K84+L84+M84+N84</f>
        <v>1874</v>
      </c>
      <c r="P84" s="219" t="s">
        <v>371</v>
      </c>
    </row>
    <row r="85" spans="2:16" s="50" customFormat="1" ht="22.5" customHeight="1">
      <c r="B85" s="25"/>
      <c r="C85" s="15"/>
      <c r="D85" s="28">
        <v>4210</v>
      </c>
      <c r="E85" s="29" t="s">
        <v>45</v>
      </c>
      <c r="F85" s="43">
        <v>71500</v>
      </c>
      <c r="G85" s="87">
        <v>25000</v>
      </c>
      <c r="H85" s="87"/>
      <c r="I85" s="87"/>
      <c r="J85" s="87"/>
      <c r="K85" s="87"/>
      <c r="L85" s="87"/>
      <c r="M85" s="87"/>
      <c r="N85" s="87"/>
      <c r="O85" s="136">
        <f t="shared" si="25"/>
        <v>96500</v>
      </c>
      <c r="P85" s="381" t="s">
        <v>372</v>
      </c>
    </row>
    <row r="86" spans="2:16" s="50" customFormat="1" ht="12.75">
      <c r="B86" s="25"/>
      <c r="C86" s="15"/>
      <c r="D86" s="28">
        <v>4260</v>
      </c>
      <c r="E86" s="29" t="s">
        <v>65</v>
      </c>
      <c r="F86" s="43">
        <v>30000</v>
      </c>
      <c r="G86" s="87"/>
      <c r="H86" s="87"/>
      <c r="I86" s="87"/>
      <c r="J86" s="87"/>
      <c r="K86" s="87"/>
      <c r="L86" s="87"/>
      <c r="M86" s="87"/>
      <c r="N86" s="87"/>
      <c r="O86" s="136">
        <f t="shared" si="25"/>
        <v>30000</v>
      </c>
      <c r="P86" s="382"/>
    </row>
    <row r="87" spans="2:16" s="50" customFormat="1" ht="12.75">
      <c r="B87" s="25"/>
      <c r="C87" s="15"/>
      <c r="D87" s="28">
        <v>4270</v>
      </c>
      <c r="E87" s="29" t="s">
        <v>77</v>
      </c>
      <c r="F87" s="43">
        <v>75000</v>
      </c>
      <c r="G87" s="87">
        <v>25000</v>
      </c>
      <c r="H87" s="87"/>
      <c r="I87" s="87"/>
      <c r="J87" s="87"/>
      <c r="K87" s="87"/>
      <c r="L87" s="87"/>
      <c r="M87" s="87"/>
      <c r="N87" s="87"/>
      <c r="O87" s="136">
        <f t="shared" si="25"/>
        <v>100000</v>
      </c>
      <c r="P87" s="383"/>
    </row>
    <row r="88" spans="2:16" s="50" customFormat="1" ht="12.75">
      <c r="B88" s="25"/>
      <c r="C88" s="28"/>
      <c r="D88" s="28">
        <v>4300</v>
      </c>
      <c r="E88" s="29" t="s">
        <v>47</v>
      </c>
      <c r="F88" s="43">
        <v>47525</v>
      </c>
      <c r="G88" s="87"/>
      <c r="H88" s="87"/>
      <c r="I88" s="87"/>
      <c r="J88" s="87"/>
      <c r="K88" s="87"/>
      <c r="L88" s="87"/>
      <c r="M88" s="87"/>
      <c r="N88" s="87"/>
      <c r="O88" s="136">
        <f t="shared" si="25"/>
        <v>47525</v>
      </c>
      <c r="P88" s="218"/>
    </row>
    <row r="89" spans="2:16" s="50" customFormat="1" ht="22.5">
      <c r="B89" s="25"/>
      <c r="C89" s="28"/>
      <c r="D89" s="28">
        <v>6050</v>
      </c>
      <c r="E89" s="29" t="s">
        <v>50</v>
      </c>
      <c r="F89" s="43">
        <v>308000</v>
      </c>
      <c r="G89" s="115">
        <v>-45697</v>
      </c>
      <c r="H89" s="87"/>
      <c r="I89" s="87"/>
      <c r="J89" s="87"/>
      <c r="K89" s="87"/>
      <c r="L89" s="87"/>
      <c r="M89" s="87"/>
      <c r="N89" s="87"/>
      <c r="O89" s="136">
        <f t="shared" si="25"/>
        <v>262303</v>
      </c>
      <c r="P89" s="218" t="s">
        <v>373</v>
      </c>
    </row>
    <row r="90" spans="2:16" s="50" customFormat="1" ht="25.5">
      <c r="B90" s="25"/>
      <c r="C90" s="28"/>
      <c r="D90" s="28">
        <v>6060</v>
      </c>
      <c r="E90" s="29" t="s">
        <v>61</v>
      </c>
      <c r="F90" s="43">
        <v>9000</v>
      </c>
      <c r="G90" s="115">
        <v>-229</v>
      </c>
      <c r="H90" s="87"/>
      <c r="I90" s="87"/>
      <c r="J90" s="87"/>
      <c r="K90" s="87"/>
      <c r="L90" s="87"/>
      <c r="M90" s="87"/>
      <c r="N90" s="87"/>
      <c r="O90" s="136">
        <f t="shared" si="25"/>
        <v>8771</v>
      </c>
      <c r="P90" s="219" t="s">
        <v>374</v>
      </c>
    </row>
    <row r="91" spans="2:16" s="50" customFormat="1" ht="25.5" hidden="1">
      <c r="B91" s="31">
        <v>751</v>
      </c>
      <c r="C91" s="32"/>
      <c r="D91" s="32"/>
      <c r="E91" s="33" t="s">
        <v>157</v>
      </c>
      <c r="F91" s="69">
        <f>F92</f>
        <v>1104</v>
      </c>
      <c r="G91" s="70">
        <f>G92</f>
        <v>0</v>
      </c>
      <c r="H91" s="70" t="e">
        <f>H92+#REF!</f>
        <v>#REF!</v>
      </c>
      <c r="I91" s="70" t="e">
        <f>I92+#REF!</f>
        <v>#REF!</v>
      </c>
      <c r="J91" s="70" t="e">
        <f>J92+#REF!</f>
        <v>#REF!</v>
      </c>
      <c r="K91" s="70" t="e">
        <f>K92+#REF!</f>
        <v>#REF!</v>
      </c>
      <c r="L91" s="70" t="e">
        <f>L92+#REF!</f>
        <v>#REF!</v>
      </c>
      <c r="M91" s="70" t="e">
        <f>M92+#REF!</f>
        <v>#REF!</v>
      </c>
      <c r="N91" s="70" t="e">
        <f>N92+#REF!</f>
        <v>#REF!</v>
      </c>
      <c r="O91" s="69">
        <f>O92</f>
        <v>1104</v>
      </c>
      <c r="P91" s="321"/>
    </row>
    <row r="92" spans="2:16" s="217" customFormat="1" ht="25.5" hidden="1">
      <c r="B92" s="25"/>
      <c r="C92" s="37">
        <v>75101</v>
      </c>
      <c r="D92" s="37"/>
      <c r="E92" s="114" t="s">
        <v>158</v>
      </c>
      <c r="F92" s="60">
        <f>SUM(F93:F93)</f>
        <v>1104</v>
      </c>
      <c r="G92" s="61">
        <f>SUM(G93:G93)</f>
        <v>0</v>
      </c>
      <c r="H92" s="61">
        <f aca="true" t="shared" si="26" ref="H92:N92">SUM(H93:H93)</f>
        <v>0</v>
      </c>
      <c r="I92" s="61">
        <f t="shared" si="26"/>
        <v>0</v>
      </c>
      <c r="J92" s="61">
        <f t="shared" si="26"/>
        <v>0</v>
      </c>
      <c r="K92" s="61">
        <f t="shared" si="26"/>
        <v>0</v>
      </c>
      <c r="L92" s="61">
        <f t="shared" si="26"/>
        <v>0</v>
      </c>
      <c r="M92" s="61">
        <f t="shared" si="26"/>
        <v>0</v>
      </c>
      <c r="N92" s="61">
        <f t="shared" si="26"/>
        <v>0</v>
      </c>
      <c r="O92" s="174">
        <f>SUM(O93:O93)</f>
        <v>1104</v>
      </c>
      <c r="P92" s="384"/>
    </row>
    <row r="93" spans="2:16" s="50" customFormat="1" ht="12.75" hidden="1">
      <c r="B93" s="25"/>
      <c r="C93" s="28"/>
      <c r="D93" s="28">
        <v>4300</v>
      </c>
      <c r="E93" s="29" t="s">
        <v>47</v>
      </c>
      <c r="F93" s="43">
        <v>1104</v>
      </c>
      <c r="G93" s="87"/>
      <c r="H93" s="87"/>
      <c r="I93" s="87"/>
      <c r="J93" s="87"/>
      <c r="K93" s="87"/>
      <c r="L93" s="87"/>
      <c r="M93" s="87"/>
      <c r="N93" s="87"/>
      <c r="O93" s="136">
        <f>F93+G93+H93+I93+J93+K93+L93+M93+N93</f>
        <v>1104</v>
      </c>
      <c r="P93" s="385"/>
    </row>
    <row r="94" spans="2:16" s="50" customFormat="1" ht="25.5">
      <c r="B94" s="31">
        <v>754</v>
      </c>
      <c r="C94" s="32"/>
      <c r="D94" s="32"/>
      <c r="E94" s="33" t="s">
        <v>78</v>
      </c>
      <c r="F94" s="69">
        <f>F95+F97+F110+F115</f>
        <v>175171</v>
      </c>
      <c r="G94" s="70">
        <f>G95+G97+G110+G115</f>
        <v>10924</v>
      </c>
      <c r="H94" s="70">
        <f aca="true" t="shared" si="27" ref="H94:N94">H95+H97+H110+H115</f>
        <v>0</v>
      </c>
      <c r="I94" s="70">
        <f t="shared" si="27"/>
        <v>0</v>
      </c>
      <c r="J94" s="70">
        <f t="shared" si="27"/>
        <v>0</v>
      </c>
      <c r="K94" s="70">
        <f t="shared" si="27"/>
        <v>0</v>
      </c>
      <c r="L94" s="70">
        <f t="shared" si="27"/>
        <v>0</v>
      </c>
      <c r="M94" s="70">
        <f t="shared" si="27"/>
        <v>0</v>
      </c>
      <c r="N94" s="70">
        <f t="shared" si="27"/>
        <v>0</v>
      </c>
      <c r="O94" s="69">
        <f>O95+O97+O110+O115</f>
        <v>186095</v>
      </c>
      <c r="P94" s="321"/>
    </row>
    <row r="95" spans="2:16" s="50" customFormat="1" ht="12.75">
      <c r="B95" s="25"/>
      <c r="C95" s="15">
        <v>75403</v>
      </c>
      <c r="D95" s="15"/>
      <c r="E95" s="18" t="s">
        <v>204</v>
      </c>
      <c r="F95" s="60">
        <f aca="true" t="shared" si="28" ref="F95:O95">SUM(F96:F96)</f>
        <v>2000</v>
      </c>
      <c r="G95" s="61">
        <f t="shared" si="28"/>
        <v>0</v>
      </c>
      <c r="H95" s="61">
        <f t="shared" si="28"/>
        <v>0</v>
      </c>
      <c r="I95" s="61">
        <f t="shared" si="28"/>
        <v>0</v>
      </c>
      <c r="J95" s="61">
        <f t="shared" si="28"/>
        <v>0</v>
      </c>
      <c r="K95" s="61">
        <f t="shared" si="28"/>
        <v>0</v>
      </c>
      <c r="L95" s="61">
        <f t="shared" si="28"/>
        <v>0</v>
      </c>
      <c r="M95" s="61">
        <f t="shared" si="28"/>
        <v>0</v>
      </c>
      <c r="N95" s="61">
        <f t="shared" si="28"/>
        <v>0</v>
      </c>
      <c r="O95" s="174">
        <f t="shared" si="28"/>
        <v>2000</v>
      </c>
      <c r="P95" s="320"/>
    </row>
    <row r="96" spans="2:16" s="50" customFormat="1" ht="12.75">
      <c r="B96" s="25"/>
      <c r="C96" s="28"/>
      <c r="D96" s="28">
        <v>4210</v>
      </c>
      <c r="E96" s="29" t="s">
        <v>45</v>
      </c>
      <c r="F96" s="43">
        <v>2000</v>
      </c>
      <c r="G96" s="87"/>
      <c r="H96" s="87"/>
      <c r="I96" s="87"/>
      <c r="J96" s="87"/>
      <c r="K96" s="87"/>
      <c r="L96" s="87"/>
      <c r="M96" s="87"/>
      <c r="N96" s="87"/>
      <c r="O96" s="136">
        <f>F96+G96+H96+I96+J96+K96+L96+M96+N96</f>
        <v>2000</v>
      </c>
      <c r="P96" s="218"/>
    </row>
    <row r="97" spans="2:16" s="50" customFormat="1" ht="12.75">
      <c r="B97" s="25"/>
      <c r="C97" s="15">
        <v>75412</v>
      </c>
      <c r="D97" s="15"/>
      <c r="E97" s="18" t="s">
        <v>79</v>
      </c>
      <c r="F97" s="60">
        <f>SUM(F98:F109)</f>
        <v>167871</v>
      </c>
      <c r="G97" s="61">
        <f>SUM(G98:G109)</f>
        <v>10924</v>
      </c>
      <c r="H97" s="61">
        <f aca="true" t="shared" si="29" ref="H97:N97">SUM(H98:H109)</f>
        <v>0</v>
      </c>
      <c r="I97" s="61">
        <f t="shared" si="29"/>
        <v>0</v>
      </c>
      <c r="J97" s="61">
        <f t="shared" si="29"/>
        <v>0</v>
      </c>
      <c r="K97" s="61">
        <f t="shared" si="29"/>
        <v>0</v>
      </c>
      <c r="L97" s="61">
        <f t="shared" si="29"/>
        <v>0</v>
      </c>
      <c r="M97" s="61">
        <f t="shared" si="29"/>
        <v>0</v>
      </c>
      <c r="N97" s="61">
        <f t="shared" si="29"/>
        <v>0</v>
      </c>
      <c r="O97" s="174">
        <f>SUM(O98:O109)</f>
        <v>178795</v>
      </c>
      <c r="P97" s="320"/>
    </row>
    <row r="98" spans="2:16" s="50" customFormat="1" ht="12.75">
      <c r="B98" s="25"/>
      <c r="C98" s="28"/>
      <c r="D98" s="28">
        <v>3030</v>
      </c>
      <c r="E98" s="29" t="s">
        <v>62</v>
      </c>
      <c r="F98" s="43">
        <v>25000</v>
      </c>
      <c r="G98" s="115">
        <v>-2480</v>
      </c>
      <c r="H98" s="87"/>
      <c r="I98" s="87"/>
      <c r="J98" s="87"/>
      <c r="K98" s="87"/>
      <c r="L98" s="87"/>
      <c r="M98" s="87"/>
      <c r="N98" s="87"/>
      <c r="O98" s="136">
        <f aca="true" t="shared" si="30" ref="O98:O109">F98+G98+H98+I98+J98+K98+L98+M98+N98</f>
        <v>22520</v>
      </c>
      <c r="P98" s="218"/>
    </row>
    <row r="99" spans="2:16" s="50" customFormat="1" ht="17.25" customHeight="1">
      <c r="B99" s="25"/>
      <c r="C99" s="28"/>
      <c r="D99" s="28">
        <v>4170</v>
      </c>
      <c r="E99" s="29" t="s">
        <v>69</v>
      </c>
      <c r="F99" s="43">
        <v>3600</v>
      </c>
      <c r="G99" s="87"/>
      <c r="H99" s="87"/>
      <c r="I99" s="87"/>
      <c r="J99" s="87"/>
      <c r="K99" s="87"/>
      <c r="L99" s="87"/>
      <c r="M99" s="87"/>
      <c r="N99" s="87"/>
      <c r="O99" s="136">
        <f t="shared" si="30"/>
        <v>3600</v>
      </c>
      <c r="P99" s="218"/>
    </row>
    <row r="100" spans="2:16" s="50" customFormat="1" ht="12.75">
      <c r="B100" s="25"/>
      <c r="C100" s="28"/>
      <c r="D100" s="28">
        <v>4210</v>
      </c>
      <c r="E100" s="29" t="s">
        <v>45</v>
      </c>
      <c r="F100" s="43">
        <v>21300</v>
      </c>
      <c r="G100" s="87">
        <v>10924</v>
      </c>
      <c r="H100" s="87"/>
      <c r="I100" s="87"/>
      <c r="J100" s="87"/>
      <c r="K100" s="87"/>
      <c r="L100" s="87"/>
      <c r="M100" s="87"/>
      <c r="N100" s="87"/>
      <c r="O100" s="136">
        <f t="shared" si="30"/>
        <v>32224</v>
      </c>
      <c r="P100" s="218" t="s">
        <v>375</v>
      </c>
    </row>
    <row r="101" spans="2:16" s="50" customFormat="1" ht="12.75">
      <c r="B101" s="25"/>
      <c r="C101" s="28"/>
      <c r="D101" s="28">
        <v>4260</v>
      </c>
      <c r="E101" s="29" t="s">
        <v>65</v>
      </c>
      <c r="F101" s="43">
        <v>9000</v>
      </c>
      <c r="G101" s="87"/>
      <c r="H101" s="87"/>
      <c r="I101" s="87"/>
      <c r="J101" s="87"/>
      <c r="K101" s="87"/>
      <c r="L101" s="87"/>
      <c r="M101" s="87"/>
      <c r="N101" s="87"/>
      <c r="O101" s="136">
        <f t="shared" si="30"/>
        <v>9000</v>
      </c>
      <c r="P101" s="218"/>
    </row>
    <row r="102" spans="2:16" s="50" customFormat="1" ht="12.75">
      <c r="B102" s="25"/>
      <c r="C102" s="28"/>
      <c r="D102" s="28">
        <v>4270</v>
      </c>
      <c r="E102" s="29" t="s">
        <v>77</v>
      </c>
      <c r="F102" s="43">
        <v>20500</v>
      </c>
      <c r="G102" s="87"/>
      <c r="H102" s="87"/>
      <c r="I102" s="87"/>
      <c r="J102" s="87"/>
      <c r="K102" s="87"/>
      <c r="L102" s="87"/>
      <c r="M102" s="87"/>
      <c r="N102" s="87"/>
      <c r="O102" s="136">
        <f t="shared" si="30"/>
        <v>20500</v>
      </c>
      <c r="P102" s="218"/>
    </row>
    <row r="103" spans="2:16" s="50" customFormat="1" ht="18.75" customHeight="1">
      <c r="B103" s="25"/>
      <c r="C103" s="28"/>
      <c r="D103" s="28">
        <v>4280</v>
      </c>
      <c r="E103" s="29" t="s">
        <v>70</v>
      </c>
      <c r="F103" s="43">
        <v>3000</v>
      </c>
      <c r="G103" s="87"/>
      <c r="H103" s="87"/>
      <c r="I103" s="87"/>
      <c r="J103" s="87"/>
      <c r="K103" s="87"/>
      <c r="L103" s="87"/>
      <c r="M103" s="87"/>
      <c r="N103" s="87"/>
      <c r="O103" s="136">
        <f t="shared" si="30"/>
        <v>3000</v>
      </c>
      <c r="P103" s="218"/>
    </row>
    <row r="104" spans="2:16" s="50" customFormat="1" ht="12.75">
      <c r="B104" s="25"/>
      <c r="C104" s="28"/>
      <c r="D104" s="28">
        <v>4300</v>
      </c>
      <c r="E104" s="29" t="s">
        <v>47</v>
      </c>
      <c r="F104" s="43">
        <v>9000</v>
      </c>
      <c r="G104" s="87"/>
      <c r="H104" s="87"/>
      <c r="I104" s="87"/>
      <c r="J104" s="87"/>
      <c r="K104" s="87"/>
      <c r="L104" s="87"/>
      <c r="M104" s="87"/>
      <c r="N104" s="87"/>
      <c r="O104" s="136">
        <f t="shared" si="30"/>
        <v>9000</v>
      </c>
      <c r="P104" s="218"/>
    </row>
    <row r="105" spans="2:16" s="50" customFormat="1" ht="25.5">
      <c r="B105" s="25"/>
      <c r="C105" s="28"/>
      <c r="D105" s="28">
        <v>4360</v>
      </c>
      <c r="E105" s="29" t="s">
        <v>72</v>
      </c>
      <c r="F105" s="43">
        <v>200</v>
      </c>
      <c r="G105" s="87"/>
      <c r="H105" s="87"/>
      <c r="I105" s="87"/>
      <c r="J105" s="87"/>
      <c r="K105" s="87"/>
      <c r="L105" s="87"/>
      <c r="M105" s="87"/>
      <c r="N105" s="87"/>
      <c r="O105" s="136">
        <f t="shared" si="30"/>
        <v>200</v>
      </c>
      <c r="P105" s="218"/>
    </row>
    <row r="106" spans="2:16" s="50" customFormat="1" ht="12.75">
      <c r="B106" s="25"/>
      <c r="C106" s="28"/>
      <c r="D106" s="28">
        <v>4410</v>
      </c>
      <c r="E106" s="29" t="s">
        <v>66</v>
      </c>
      <c r="F106" s="43">
        <v>500</v>
      </c>
      <c r="G106" s="87"/>
      <c r="H106" s="87"/>
      <c r="I106" s="87"/>
      <c r="J106" s="87"/>
      <c r="K106" s="87"/>
      <c r="L106" s="87"/>
      <c r="M106" s="87"/>
      <c r="N106" s="87"/>
      <c r="O106" s="136">
        <f t="shared" si="30"/>
        <v>500</v>
      </c>
      <c r="P106" s="218"/>
    </row>
    <row r="107" spans="2:16" s="50" customFormat="1" ht="12.75">
      <c r="B107" s="25"/>
      <c r="C107" s="28"/>
      <c r="D107" s="28">
        <v>4430</v>
      </c>
      <c r="E107" s="29" t="s">
        <v>52</v>
      </c>
      <c r="F107" s="43">
        <v>12000</v>
      </c>
      <c r="G107" s="87"/>
      <c r="H107" s="87"/>
      <c r="I107" s="87"/>
      <c r="J107" s="87"/>
      <c r="K107" s="87"/>
      <c r="L107" s="87"/>
      <c r="M107" s="87"/>
      <c r="N107" s="87"/>
      <c r="O107" s="136">
        <f t="shared" si="30"/>
        <v>12000</v>
      </c>
      <c r="P107" s="218"/>
    </row>
    <row r="108" spans="2:16" s="50" customFormat="1" ht="25.5">
      <c r="B108" s="25"/>
      <c r="C108" s="28"/>
      <c r="D108" s="28">
        <v>6060</v>
      </c>
      <c r="E108" s="29" t="s">
        <v>61</v>
      </c>
      <c r="F108" s="43">
        <v>7771</v>
      </c>
      <c r="G108" s="87"/>
      <c r="H108" s="87"/>
      <c r="I108" s="87"/>
      <c r="J108" s="87"/>
      <c r="K108" s="87"/>
      <c r="L108" s="87"/>
      <c r="M108" s="87"/>
      <c r="N108" s="87"/>
      <c r="O108" s="136">
        <f t="shared" si="30"/>
        <v>7771</v>
      </c>
      <c r="P108" s="218"/>
    </row>
    <row r="109" spans="2:16" s="50" customFormat="1" ht="51">
      <c r="B109" s="25"/>
      <c r="C109" s="15"/>
      <c r="D109" s="28">
        <v>6230</v>
      </c>
      <c r="E109" s="29" t="s">
        <v>80</v>
      </c>
      <c r="F109" s="43">
        <v>56000</v>
      </c>
      <c r="G109" s="87">
        <v>2480</v>
      </c>
      <c r="H109" s="87"/>
      <c r="I109" s="87"/>
      <c r="J109" s="87"/>
      <c r="K109" s="87"/>
      <c r="L109" s="87"/>
      <c r="M109" s="87"/>
      <c r="N109" s="87"/>
      <c r="O109" s="136">
        <f t="shared" si="30"/>
        <v>58480</v>
      </c>
      <c r="P109" s="218" t="s">
        <v>376</v>
      </c>
    </row>
    <row r="110" spans="2:16" s="50" customFormat="1" ht="12.75">
      <c r="B110" s="25"/>
      <c r="C110" s="15">
        <v>75414</v>
      </c>
      <c r="D110" s="15"/>
      <c r="E110" s="18" t="s">
        <v>81</v>
      </c>
      <c r="F110" s="60">
        <f>SUM(F111:F114)</f>
        <v>2500</v>
      </c>
      <c r="G110" s="61">
        <f>SUM(G111:G114)</f>
        <v>0</v>
      </c>
      <c r="H110" s="61">
        <f aca="true" t="shared" si="31" ref="H110:N110">SUM(H111:H114)</f>
        <v>0</v>
      </c>
      <c r="I110" s="61">
        <f t="shared" si="31"/>
        <v>0</v>
      </c>
      <c r="J110" s="61">
        <f t="shared" si="31"/>
        <v>0</v>
      </c>
      <c r="K110" s="61">
        <f t="shared" si="31"/>
        <v>0</v>
      </c>
      <c r="L110" s="61">
        <f t="shared" si="31"/>
        <v>0</v>
      </c>
      <c r="M110" s="61">
        <f t="shared" si="31"/>
        <v>0</v>
      </c>
      <c r="N110" s="61">
        <f t="shared" si="31"/>
        <v>0</v>
      </c>
      <c r="O110" s="174">
        <f>SUM(O111:O114)</f>
        <v>2500</v>
      </c>
      <c r="P110" s="320"/>
    </row>
    <row r="111" spans="2:16" s="50" customFormat="1" ht="15" customHeight="1">
      <c r="B111" s="25"/>
      <c r="C111" s="28"/>
      <c r="D111" s="28">
        <v>4170</v>
      </c>
      <c r="E111" s="29" t="s">
        <v>69</v>
      </c>
      <c r="F111" s="43">
        <v>600</v>
      </c>
      <c r="G111" s="87"/>
      <c r="H111" s="87"/>
      <c r="I111" s="87"/>
      <c r="J111" s="87"/>
      <c r="K111" s="87"/>
      <c r="L111" s="87"/>
      <c r="M111" s="87"/>
      <c r="N111" s="87"/>
      <c r="O111" s="136">
        <f>F111+G111+H111+I111+J111+K111+L111+M111+N111</f>
        <v>600</v>
      </c>
      <c r="P111" s="218"/>
    </row>
    <row r="112" spans="2:16" s="50" customFormat="1" ht="12.75">
      <c r="B112" s="25"/>
      <c r="C112" s="28"/>
      <c r="D112" s="28">
        <v>4210</v>
      </c>
      <c r="E112" s="29" t="s">
        <v>45</v>
      </c>
      <c r="F112" s="43">
        <v>800</v>
      </c>
      <c r="G112" s="87"/>
      <c r="H112" s="87"/>
      <c r="I112" s="87"/>
      <c r="J112" s="87"/>
      <c r="K112" s="87"/>
      <c r="L112" s="87"/>
      <c r="M112" s="87"/>
      <c r="N112" s="87"/>
      <c r="O112" s="136">
        <f>F112+G112+H112+I112+J112+K112+L112+M112+N112</f>
        <v>800</v>
      </c>
      <c r="P112" s="218"/>
    </row>
    <row r="113" spans="2:16" s="50" customFormat="1" ht="12.75">
      <c r="B113" s="25"/>
      <c r="C113" s="28"/>
      <c r="D113" s="28">
        <v>4300</v>
      </c>
      <c r="E113" s="29" t="s">
        <v>47</v>
      </c>
      <c r="F113" s="43">
        <v>1000</v>
      </c>
      <c r="G113" s="87"/>
      <c r="H113" s="87"/>
      <c r="I113" s="87"/>
      <c r="J113" s="87"/>
      <c r="K113" s="87"/>
      <c r="L113" s="87"/>
      <c r="M113" s="87"/>
      <c r="N113" s="87"/>
      <c r="O113" s="136">
        <f>F113+G113+H113+I113+J113+K113+L113+M113+N113</f>
        <v>1000</v>
      </c>
      <c r="P113" s="218"/>
    </row>
    <row r="114" spans="2:16" s="50" customFormat="1" ht="12.75">
      <c r="B114" s="25"/>
      <c r="C114" s="28"/>
      <c r="D114" s="28">
        <v>4410</v>
      </c>
      <c r="E114" s="29" t="s">
        <v>66</v>
      </c>
      <c r="F114" s="43">
        <v>100</v>
      </c>
      <c r="G114" s="87"/>
      <c r="H114" s="87"/>
      <c r="I114" s="87"/>
      <c r="J114" s="87"/>
      <c r="K114" s="87"/>
      <c r="L114" s="87"/>
      <c r="M114" s="87"/>
      <c r="N114" s="87"/>
      <c r="O114" s="136">
        <f>F114+G114+H114+I114+J114+K114+L114+M114+N114</f>
        <v>100</v>
      </c>
      <c r="P114" s="218"/>
    </row>
    <row r="115" spans="2:16" s="50" customFormat="1" ht="13.5" customHeight="1">
      <c r="B115" s="25"/>
      <c r="C115" s="15">
        <v>75421</v>
      </c>
      <c r="D115" s="15"/>
      <c r="E115" s="18" t="s">
        <v>228</v>
      </c>
      <c r="F115" s="60">
        <f>SUM(F116:F119)</f>
        <v>2800</v>
      </c>
      <c r="G115" s="61">
        <f>SUM(G116:G119)</f>
        <v>0</v>
      </c>
      <c r="H115" s="61">
        <f aca="true" t="shared" si="32" ref="H115:N115">SUM(H116:H116)</f>
        <v>0</v>
      </c>
      <c r="I115" s="61">
        <f t="shared" si="32"/>
        <v>0</v>
      </c>
      <c r="J115" s="61">
        <f t="shared" si="32"/>
        <v>0</v>
      </c>
      <c r="K115" s="61">
        <f t="shared" si="32"/>
        <v>0</v>
      </c>
      <c r="L115" s="61">
        <f t="shared" si="32"/>
        <v>0</v>
      </c>
      <c r="M115" s="61">
        <f t="shared" si="32"/>
        <v>0</v>
      </c>
      <c r="N115" s="61">
        <f t="shared" si="32"/>
        <v>0</v>
      </c>
      <c r="O115" s="174">
        <f>SUM(O116:O119)</f>
        <v>2800</v>
      </c>
      <c r="P115" s="320"/>
    </row>
    <row r="116" spans="2:16" s="50" customFormat="1" ht="12.75">
      <c r="B116" s="25"/>
      <c r="C116" s="28"/>
      <c r="D116" s="28">
        <v>4810</v>
      </c>
      <c r="E116" s="29" t="s">
        <v>229</v>
      </c>
      <c r="F116" s="43">
        <v>0</v>
      </c>
      <c r="G116" s="87"/>
      <c r="H116" s="87"/>
      <c r="I116" s="87"/>
      <c r="J116" s="87"/>
      <c r="K116" s="87"/>
      <c r="L116" s="87"/>
      <c r="M116" s="87"/>
      <c r="N116" s="87"/>
      <c r="O116" s="136">
        <f>F116+G116+H116+I116+J116+K116+L116+M116+N116</f>
        <v>0</v>
      </c>
      <c r="P116" s="218"/>
    </row>
    <row r="117" spans="2:16" s="50" customFormat="1" ht="12.75">
      <c r="B117" s="25"/>
      <c r="C117" s="28"/>
      <c r="D117" s="28">
        <v>4270</v>
      </c>
      <c r="E117" s="29" t="s">
        <v>46</v>
      </c>
      <c r="F117" s="43">
        <v>1000</v>
      </c>
      <c r="G117" s="87"/>
      <c r="H117" s="87"/>
      <c r="I117" s="87"/>
      <c r="J117" s="87"/>
      <c r="K117" s="87"/>
      <c r="L117" s="87"/>
      <c r="M117" s="87"/>
      <c r="N117" s="87"/>
      <c r="O117" s="136">
        <f>F117+G117+H117+I117+J117+K117+L117+M117+N117</f>
        <v>1000</v>
      </c>
      <c r="P117" s="218"/>
    </row>
    <row r="118" spans="2:16" s="50" customFormat="1" ht="12.75">
      <c r="B118" s="25"/>
      <c r="C118" s="28"/>
      <c r="D118" s="28">
        <v>4300</v>
      </c>
      <c r="E118" s="29" t="s">
        <v>47</v>
      </c>
      <c r="F118" s="43">
        <v>1000</v>
      </c>
      <c r="G118" s="87"/>
      <c r="H118" s="87"/>
      <c r="I118" s="87"/>
      <c r="J118" s="87"/>
      <c r="K118" s="87"/>
      <c r="L118" s="87"/>
      <c r="M118" s="87"/>
      <c r="N118" s="87"/>
      <c r="O118" s="136">
        <f>F118+G118+H118+I118+J118+K118+L118+M118+N118</f>
        <v>1000</v>
      </c>
      <c r="P118" s="218"/>
    </row>
    <row r="119" spans="2:16" s="50" customFormat="1" ht="25.5">
      <c r="B119" s="25"/>
      <c r="C119" s="28"/>
      <c r="D119" s="28">
        <v>4360</v>
      </c>
      <c r="E119" s="29" t="s">
        <v>72</v>
      </c>
      <c r="F119" s="43">
        <v>800</v>
      </c>
      <c r="G119" s="87"/>
      <c r="H119" s="87"/>
      <c r="I119" s="87"/>
      <c r="J119" s="87"/>
      <c r="K119" s="87"/>
      <c r="L119" s="87"/>
      <c r="M119" s="87"/>
      <c r="N119" s="87"/>
      <c r="O119" s="136">
        <f>F119+G119+H119+I119+J119+K119+L119+M119+N119</f>
        <v>800</v>
      </c>
      <c r="P119" s="218"/>
    </row>
    <row r="120" spans="2:16" s="50" customFormat="1" ht="38.25" hidden="1">
      <c r="B120" s="31">
        <v>756</v>
      </c>
      <c r="C120" s="32"/>
      <c r="D120" s="32"/>
      <c r="E120" s="33" t="s">
        <v>230</v>
      </c>
      <c r="F120" s="69">
        <f>F121</f>
        <v>47600</v>
      </c>
      <c r="G120" s="70">
        <f>G121</f>
        <v>0</v>
      </c>
      <c r="H120" s="70">
        <f aca="true" t="shared" si="33" ref="H120:N120">H121</f>
        <v>0</v>
      </c>
      <c r="I120" s="70">
        <f t="shared" si="33"/>
        <v>0</v>
      </c>
      <c r="J120" s="70">
        <f t="shared" si="33"/>
        <v>0</v>
      </c>
      <c r="K120" s="70">
        <f t="shared" si="33"/>
        <v>0</v>
      </c>
      <c r="L120" s="70">
        <f t="shared" si="33"/>
        <v>0</v>
      </c>
      <c r="M120" s="70">
        <f t="shared" si="33"/>
        <v>0</v>
      </c>
      <c r="N120" s="70">
        <f t="shared" si="33"/>
        <v>0</v>
      </c>
      <c r="O120" s="69">
        <f>O121</f>
        <v>47600</v>
      </c>
      <c r="P120" s="321"/>
    </row>
    <row r="121" spans="2:16" s="50" customFormat="1" ht="25.5" hidden="1">
      <c r="B121" s="25"/>
      <c r="C121" s="15">
        <v>75647</v>
      </c>
      <c r="D121" s="15"/>
      <c r="E121" s="18" t="s">
        <v>231</v>
      </c>
      <c r="F121" s="60">
        <f>SUM(F122:F125)</f>
        <v>47600</v>
      </c>
      <c r="G121" s="61">
        <f>SUM(G122:G125)</f>
        <v>0</v>
      </c>
      <c r="H121" s="61">
        <f aca="true" t="shared" si="34" ref="H121:N121">SUM(H122:H125)</f>
        <v>0</v>
      </c>
      <c r="I121" s="61">
        <f t="shared" si="34"/>
        <v>0</v>
      </c>
      <c r="J121" s="61">
        <f t="shared" si="34"/>
        <v>0</v>
      </c>
      <c r="K121" s="61">
        <f t="shared" si="34"/>
        <v>0</v>
      </c>
      <c r="L121" s="61">
        <f t="shared" si="34"/>
        <v>0</v>
      </c>
      <c r="M121" s="61">
        <f t="shared" si="34"/>
        <v>0</v>
      </c>
      <c r="N121" s="61">
        <f t="shared" si="34"/>
        <v>0</v>
      </c>
      <c r="O121" s="174">
        <f>SUM(O122:O125)</f>
        <v>47600</v>
      </c>
      <c r="P121" s="320"/>
    </row>
    <row r="122" spans="2:16" s="50" customFormat="1" ht="18" customHeight="1" hidden="1">
      <c r="B122" s="25"/>
      <c r="C122" s="28"/>
      <c r="D122" s="28">
        <v>4100</v>
      </c>
      <c r="E122" s="29" t="s">
        <v>232</v>
      </c>
      <c r="F122" s="43">
        <v>43000</v>
      </c>
      <c r="G122" s="87"/>
      <c r="H122" s="87"/>
      <c r="I122" s="87"/>
      <c r="J122" s="87"/>
      <c r="K122" s="87"/>
      <c r="L122" s="87"/>
      <c r="M122" s="87"/>
      <c r="N122" s="87"/>
      <c r="O122" s="136">
        <f>F122+G122+H122+I122+J122+K122+L122+M122+N122</f>
        <v>43000</v>
      </c>
      <c r="P122" s="218"/>
    </row>
    <row r="123" spans="2:16" s="50" customFormat="1" ht="12.75" hidden="1">
      <c r="B123" s="25"/>
      <c r="C123" s="28"/>
      <c r="D123" s="28">
        <v>4210</v>
      </c>
      <c r="E123" s="29" t="s">
        <v>45</v>
      </c>
      <c r="F123" s="43">
        <v>2100</v>
      </c>
      <c r="G123" s="87"/>
      <c r="H123" s="87"/>
      <c r="I123" s="87"/>
      <c r="J123" s="87"/>
      <c r="K123" s="87"/>
      <c r="L123" s="87"/>
      <c r="M123" s="87"/>
      <c r="N123" s="87"/>
      <c r="O123" s="136">
        <f>F123+G123+H123+I123+J123+K123+L123+M123+N123</f>
        <v>2100</v>
      </c>
      <c r="P123" s="218"/>
    </row>
    <row r="124" spans="2:16" s="50" customFormat="1" ht="12.75" customHeight="1" hidden="1">
      <c r="B124" s="25"/>
      <c r="C124" s="28"/>
      <c r="D124" s="28">
        <v>4300</v>
      </c>
      <c r="E124" s="29" t="s">
        <v>47</v>
      </c>
      <c r="F124" s="43"/>
      <c r="G124" s="87"/>
      <c r="H124" s="87"/>
      <c r="I124" s="87"/>
      <c r="J124" s="87"/>
      <c r="K124" s="87"/>
      <c r="L124" s="87"/>
      <c r="M124" s="87"/>
      <c r="N124" s="87"/>
      <c r="O124" s="136">
        <f>F124+G124+H124+I124+J124+K124+L124+M124+N124</f>
        <v>0</v>
      </c>
      <c r="P124" s="218"/>
    </row>
    <row r="125" spans="2:16" s="50" customFormat="1" ht="12.75" hidden="1">
      <c r="B125" s="25"/>
      <c r="C125" s="28"/>
      <c r="D125" s="28">
        <v>4610</v>
      </c>
      <c r="E125" s="29" t="s">
        <v>233</v>
      </c>
      <c r="F125" s="43">
        <v>2500</v>
      </c>
      <c r="G125" s="87"/>
      <c r="H125" s="87"/>
      <c r="I125" s="87"/>
      <c r="J125" s="87"/>
      <c r="K125" s="87"/>
      <c r="L125" s="87"/>
      <c r="M125" s="87"/>
      <c r="N125" s="87"/>
      <c r="O125" s="136">
        <f>F125+G125+H125+I125+J125+K125+L125+M125+N125</f>
        <v>2500</v>
      </c>
      <c r="P125" s="218"/>
    </row>
    <row r="126" spans="2:16" s="50" customFormat="1" ht="12.75" hidden="1">
      <c r="B126" s="31">
        <v>757</v>
      </c>
      <c r="C126" s="32"/>
      <c r="D126" s="32"/>
      <c r="E126" s="33" t="s">
        <v>234</v>
      </c>
      <c r="F126" s="69">
        <f aca="true" t="shared" si="35" ref="F126:N126">F127</f>
        <v>193537</v>
      </c>
      <c r="G126" s="70">
        <f t="shared" si="35"/>
        <v>0</v>
      </c>
      <c r="H126" s="70">
        <f t="shared" si="35"/>
        <v>0</v>
      </c>
      <c r="I126" s="70">
        <f t="shared" si="35"/>
        <v>0</v>
      </c>
      <c r="J126" s="70">
        <f t="shared" si="35"/>
        <v>0</v>
      </c>
      <c r="K126" s="70">
        <f t="shared" si="35"/>
        <v>0</v>
      </c>
      <c r="L126" s="70">
        <f t="shared" si="35"/>
        <v>0</v>
      </c>
      <c r="M126" s="70">
        <f t="shared" si="35"/>
        <v>0</v>
      </c>
      <c r="N126" s="70">
        <f t="shared" si="35"/>
        <v>0</v>
      </c>
      <c r="O126" s="69">
        <f>O127</f>
        <v>193537</v>
      </c>
      <c r="P126" s="321"/>
    </row>
    <row r="127" spans="2:16" s="50" customFormat="1" ht="25.5" hidden="1">
      <c r="B127" s="25"/>
      <c r="C127" s="15">
        <v>75702</v>
      </c>
      <c r="D127" s="15"/>
      <c r="E127" s="18" t="s">
        <v>235</v>
      </c>
      <c r="F127" s="60">
        <f>SUM(F128:F128)</f>
        <v>193537</v>
      </c>
      <c r="G127" s="61">
        <f>SUM(G128:G128)</f>
        <v>0</v>
      </c>
      <c r="H127" s="61">
        <f aca="true" t="shared" si="36" ref="H127:N127">SUM(H128:H128)</f>
        <v>0</v>
      </c>
      <c r="I127" s="61">
        <f t="shared" si="36"/>
        <v>0</v>
      </c>
      <c r="J127" s="61">
        <f t="shared" si="36"/>
        <v>0</v>
      </c>
      <c r="K127" s="61">
        <f t="shared" si="36"/>
        <v>0</v>
      </c>
      <c r="L127" s="61">
        <f t="shared" si="36"/>
        <v>0</v>
      </c>
      <c r="M127" s="61">
        <f t="shared" si="36"/>
        <v>0</v>
      </c>
      <c r="N127" s="61">
        <f t="shared" si="36"/>
        <v>0</v>
      </c>
      <c r="O127" s="176">
        <f>SUM(O128:O128)</f>
        <v>193537</v>
      </c>
      <c r="P127" s="320"/>
    </row>
    <row r="128" spans="2:16" s="50" customFormat="1" ht="25.5" hidden="1">
      <c r="B128" s="25"/>
      <c r="C128" s="28"/>
      <c r="D128" s="28">
        <v>8070</v>
      </c>
      <c r="E128" s="29" t="s">
        <v>236</v>
      </c>
      <c r="F128" s="43">
        <v>193537</v>
      </c>
      <c r="G128" s="87"/>
      <c r="H128" s="87"/>
      <c r="I128" s="87"/>
      <c r="J128" s="87"/>
      <c r="K128" s="87"/>
      <c r="L128" s="87"/>
      <c r="M128" s="87"/>
      <c r="N128" s="87"/>
      <c r="O128" s="136">
        <f>F128+G128+H128+I128+J128+K128+L128+M128+N128</f>
        <v>193537</v>
      </c>
      <c r="P128" s="218"/>
    </row>
    <row r="129" spans="2:16" s="50" customFormat="1" ht="12.75">
      <c r="B129" s="31">
        <v>758</v>
      </c>
      <c r="C129" s="32"/>
      <c r="D129" s="32"/>
      <c r="E129" s="33" t="s">
        <v>34</v>
      </c>
      <c r="F129" s="69">
        <f>F130</f>
        <v>104229</v>
      </c>
      <c r="G129" s="309">
        <f>G130</f>
        <v>-27000</v>
      </c>
      <c r="H129" s="70">
        <f aca="true" t="shared" si="37" ref="H129:N129">H130</f>
        <v>0</v>
      </c>
      <c r="I129" s="70">
        <f t="shared" si="37"/>
        <v>0</v>
      </c>
      <c r="J129" s="70">
        <f t="shared" si="37"/>
        <v>0</v>
      </c>
      <c r="K129" s="70">
        <f t="shared" si="37"/>
        <v>0</v>
      </c>
      <c r="L129" s="70">
        <f t="shared" si="37"/>
        <v>0</v>
      </c>
      <c r="M129" s="70">
        <f t="shared" si="37"/>
        <v>0</v>
      </c>
      <c r="N129" s="70">
        <f t="shared" si="37"/>
        <v>0</v>
      </c>
      <c r="O129" s="69">
        <f>O130</f>
        <v>77229</v>
      </c>
      <c r="P129" s="321"/>
    </row>
    <row r="130" spans="2:16" s="50" customFormat="1" ht="12.75" customHeight="1">
      <c r="B130" s="25"/>
      <c r="C130" s="15">
        <v>75818</v>
      </c>
      <c r="D130" s="15"/>
      <c r="E130" s="18" t="s">
        <v>237</v>
      </c>
      <c r="F130" s="60">
        <f aca="true" t="shared" si="38" ref="F130:N130">SUM(F131:F131)</f>
        <v>104229</v>
      </c>
      <c r="G130" s="137">
        <f t="shared" si="38"/>
        <v>-27000</v>
      </c>
      <c r="H130" s="61">
        <f t="shared" si="38"/>
        <v>0</v>
      </c>
      <c r="I130" s="61">
        <f t="shared" si="38"/>
        <v>0</v>
      </c>
      <c r="J130" s="61">
        <f t="shared" si="38"/>
        <v>0</v>
      </c>
      <c r="K130" s="61">
        <f t="shared" si="38"/>
        <v>0</v>
      </c>
      <c r="L130" s="61">
        <f t="shared" si="38"/>
        <v>0</v>
      </c>
      <c r="M130" s="61">
        <f t="shared" si="38"/>
        <v>0</v>
      </c>
      <c r="N130" s="61">
        <f t="shared" si="38"/>
        <v>0</v>
      </c>
      <c r="O130" s="176">
        <f>SUM(O131:O131)</f>
        <v>77229</v>
      </c>
      <c r="P130" s="218"/>
    </row>
    <row r="131" spans="2:16" s="50" customFormat="1" ht="12.75" customHeight="1">
      <c r="B131" s="25"/>
      <c r="C131" s="28"/>
      <c r="D131" s="28">
        <v>4810</v>
      </c>
      <c r="E131" s="29" t="s">
        <v>229</v>
      </c>
      <c r="F131" s="43">
        <v>104229</v>
      </c>
      <c r="G131" s="115">
        <v>-27000</v>
      </c>
      <c r="H131" s="87"/>
      <c r="I131" s="87"/>
      <c r="J131" s="87"/>
      <c r="K131" s="87"/>
      <c r="L131" s="87"/>
      <c r="M131" s="87"/>
      <c r="N131" s="87"/>
      <c r="O131" s="136">
        <f>F131+G131+H131+I131+J131+K131+L131+M131+N131</f>
        <v>77229</v>
      </c>
      <c r="P131" s="218" t="s">
        <v>377</v>
      </c>
    </row>
    <row r="132" spans="2:16" s="50" customFormat="1" ht="12.75">
      <c r="B132" s="31">
        <v>801</v>
      </c>
      <c r="C132" s="32"/>
      <c r="D132" s="32"/>
      <c r="E132" s="33" t="s">
        <v>35</v>
      </c>
      <c r="F132" s="69">
        <f>F133+F175+F200+F223+F232+F250+F247+F156</f>
        <v>7535333</v>
      </c>
      <c r="G132" s="309">
        <f>G133+G175+G200+G223+G232+G250+G247+G156</f>
        <v>-6286</v>
      </c>
      <c r="H132" s="70">
        <f aca="true" t="shared" si="39" ref="H132:N132">H133+H175+H200+H223+H232+H250+H247+H156</f>
        <v>0</v>
      </c>
      <c r="I132" s="70">
        <f t="shared" si="39"/>
        <v>0</v>
      </c>
      <c r="J132" s="70">
        <f t="shared" si="39"/>
        <v>0</v>
      </c>
      <c r="K132" s="70">
        <f t="shared" si="39"/>
        <v>0</v>
      </c>
      <c r="L132" s="70">
        <f t="shared" si="39"/>
        <v>0</v>
      </c>
      <c r="M132" s="70">
        <f t="shared" si="39"/>
        <v>0</v>
      </c>
      <c r="N132" s="70">
        <f t="shared" si="39"/>
        <v>0</v>
      </c>
      <c r="O132" s="69">
        <f>O133+O175+O200+O223+O232+O250+O247+O156</f>
        <v>7529047</v>
      </c>
      <c r="P132" s="321"/>
    </row>
    <row r="133" spans="2:16" s="50" customFormat="1" ht="12.75">
      <c r="B133" s="25"/>
      <c r="C133" s="15">
        <v>80101</v>
      </c>
      <c r="D133" s="15"/>
      <c r="E133" s="18" t="s">
        <v>36</v>
      </c>
      <c r="F133" s="60">
        <f>SUM(F134:F155)</f>
        <v>3380873</v>
      </c>
      <c r="G133" s="137">
        <f>SUM(G134:G155)</f>
        <v>-15000</v>
      </c>
      <c r="H133" s="61">
        <f aca="true" t="shared" si="40" ref="H133:N133">SUM(H134:H155)</f>
        <v>0</v>
      </c>
      <c r="I133" s="61">
        <f t="shared" si="40"/>
        <v>0</v>
      </c>
      <c r="J133" s="61">
        <f t="shared" si="40"/>
        <v>0</v>
      </c>
      <c r="K133" s="61">
        <f t="shared" si="40"/>
        <v>0</v>
      </c>
      <c r="L133" s="61">
        <f t="shared" si="40"/>
        <v>0</v>
      </c>
      <c r="M133" s="61">
        <f t="shared" si="40"/>
        <v>0</v>
      </c>
      <c r="N133" s="61">
        <f t="shared" si="40"/>
        <v>0</v>
      </c>
      <c r="O133" s="174">
        <f>SUM(O134:O155)</f>
        <v>3365873</v>
      </c>
      <c r="P133" s="320"/>
    </row>
    <row r="134" spans="2:16" s="50" customFormat="1" ht="25.5">
      <c r="B134" s="25"/>
      <c r="C134" s="28"/>
      <c r="D134" s="28">
        <v>3020</v>
      </c>
      <c r="E134" s="29" t="s">
        <v>67</v>
      </c>
      <c r="F134" s="43">
        <v>140140</v>
      </c>
      <c r="G134" s="115">
        <v>-21500</v>
      </c>
      <c r="H134" s="87"/>
      <c r="I134" s="87"/>
      <c r="J134" s="87"/>
      <c r="K134" s="87"/>
      <c r="L134" s="87"/>
      <c r="M134" s="87"/>
      <c r="N134" s="87"/>
      <c r="O134" s="136">
        <f aca="true" t="shared" si="41" ref="O134:O154">F134+G134+H134+I134+J134+K134+L134+M134+N134</f>
        <v>118640</v>
      </c>
      <c r="P134" s="218"/>
    </row>
    <row r="135" spans="2:16" s="50" customFormat="1" ht="12.75" customHeight="1">
      <c r="B135" s="25"/>
      <c r="C135" s="28"/>
      <c r="D135" s="28">
        <v>3260</v>
      </c>
      <c r="E135" s="29" t="s">
        <v>205</v>
      </c>
      <c r="F135" s="43"/>
      <c r="G135" s="115"/>
      <c r="H135" s="87"/>
      <c r="I135" s="87"/>
      <c r="J135" s="87"/>
      <c r="K135" s="87"/>
      <c r="L135" s="87"/>
      <c r="M135" s="87"/>
      <c r="N135" s="87"/>
      <c r="O135" s="136">
        <f t="shared" si="41"/>
        <v>0</v>
      </c>
      <c r="P135" s="218"/>
    </row>
    <row r="136" spans="2:16" s="50" customFormat="1" ht="12.75" customHeight="1">
      <c r="B136" s="25"/>
      <c r="C136" s="28"/>
      <c r="D136" s="28">
        <v>4010</v>
      </c>
      <c r="E136" s="29" t="s">
        <v>63</v>
      </c>
      <c r="F136" s="43">
        <v>2019841</v>
      </c>
      <c r="G136" s="115">
        <v>-4000</v>
      </c>
      <c r="H136" s="87"/>
      <c r="I136" s="87"/>
      <c r="J136" s="87"/>
      <c r="K136" s="87"/>
      <c r="L136" s="87"/>
      <c r="M136" s="87"/>
      <c r="N136" s="87"/>
      <c r="O136" s="136">
        <f t="shared" si="41"/>
        <v>2015841</v>
      </c>
      <c r="P136" s="308"/>
    </row>
    <row r="137" spans="2:16" s="50" customFormat="1" ht="12.75">
      <c r="B137" s="25"/>
      <c r="C137" s="28"/>
      <c r="D137" s="28">
        <v>4040</v>
      </c>
      <c r="E137" s="29" t="s">
        <v>68</v>
      </c>
      <c r="F137" s="43">
        <v>139499</v>
      </c>
      <c r="G137" s="87"/>
      <c r="H137" s="87"/>
      <c r="I137" s="87"/>
      <c r="J137" s="87"/>
      <c r="K137" s="87"/>
      <c r="L137" s="87"/>
      <c r="M137" s="87"/>
      <c r="N137" s="87"/>
      <c r="O137" s="136">
        <f t="shared" si="41"/>
        <v>139499</v>
      </c>
      <c r="P137" s="308"/>
    </row>
    <row r="138" spans="2:16" s="50" customFormat="1" ht="12.75">
      <c r="B138" s="25"/>
      <c r="C138" s="28"/>
      <c r="D138" s="28">
        <v>4110</v>
      </c>
      <c r="E138" s="29" t="s">
        <v>64</v>
      </c>
      <c r="F138" s="43">
        <v>356460</v>
      </c>
      <c r="G138" s="115">
        <v>-19000</v>
      </c>
      <c r="H138" s="87"/>
      <c r="I138" s="87"/>
      <c r="J138" s="87"/>
      <c r="K138" s="87"/>
      <c r="L138" s="87"/>
      <c r="M138" s="87"/>
      <c r="N138" s="87"/>
      <c r="O138" s="136">
        <f t="shared" si="41"/>
        <v>337460</v>
      </c>
      <c r="P138" s="308"/>
    </row>
    <row r="139" spans="2:16" s="50" customFormat="1" ht="12.75">
      <c r="B139" s="25"/>
      <c r="C139" s="28"/>
      <c r="D139" s="28">
        <v>4120</v>
      </c>
      <c r="E139" s="29" t="s">
        <v>156</v>
      </c>
      <c r="F139" s="43">
        <v>55390</v>
      </c>
      <c r="G139" s="87"/>
      <c r="H139" s="87"/>
      <c r="I139" s="87"/>
      <c r="J139" s="87"/>
      <c r="K139" s="87"/>
      <c r="L139" s="87"/>
      <c r="M139" s="87"/>
      <c r="N139" s="87"/>
      <c r="O139" s="136">
        <f t="shared" si="41"/>
        <v>55390</v>
      </c>
      <c r="P139" s="308"/>
    </row>
    <row r="140" spans="2:16" s="50" customFormat="1" ht="12.75">
      <c r="B140" s="25"/>
      <c r="C140" s="28"/>
      <c r="D140" s="28">
        <v>4210</v>
      </c>
      <c r="E140" s="29" t="s">
        <v>45</v>
      </c>
      <c r="F140" s="43">
        <v>220600</v>
      </c>
      <c r="G140" s="87">
        <v>17800</v>
      </c>
      <c r="H140" s="87"/>
      <c r="I140" s="87"/>
      <c r="J140" s="87"/>
      <c r="K140" s="87"/>
      <c r="L140" s="87"/>
      <c r="M140" s="87"/>
      <c r="N140" s="87"/>
      <c r="O140" s="136">
        <f t="shared" si="41"/>
        <v>238400</v>
      </c>
      <c r="P140" s="218"/>
    </row>
    <row r="141" spans="2:16" s="50" customFormat="1" ht="12.75">
      <c r="B141" s="25"/>
      <c r="C141" s="28"/>
      <c r="D141" s="28">
        <v>4240</v>
      </c>
      <c r="E141" s="29" t="s">
        <v>159</v>
      </c>
      <c r="F141" s="43">
        <v>10150</v>
      </c>
      <c r="G141" s="115">
        <v>-1800</v>
      </c>
      <c r="H141" s="87"/>
      <c r="I141" s="87"/>
      <c r="J141" s="87"/>
      <c r="K141" s="87"/>
      <c r="L141" s="87"/>
      <c r="M141" s="87"/>
      <c r="N141" s="87"/>
      <c r="O141" s="136">
        <f t="shared" si="41"/>
        <v>8350</v>
      </c>
      <c r="P141" s="218"/>
    </row>
    <row r="142" spans="2:16" s="50" customFormat="1" ht="12.75">
      <c r="B142" s="25"/>
      <c r="C142" s="28"/>
      <c r="D142" s="28">
        <v>4260</v>
      </c>
      <c r="E142" s="29" t="s">
        <v>65</v>
      </c>
      <c r="F142" s="43">
        <v>126000</v>
      </c>
      <c r="G142" s="87"/>
      <c r="H142" s="87"/>
      <c r="I142" s="87"/>
      <c r="J142" s="87"/>
      <c r="K142" s="87"/>
      <c r="L142" s="87"/>
      <c r="M142" s="87"/>
      <c r="N142" s="87"/>
      <c r="O142" s="136">
        <f t="shared" si="41"/>
        <v>126000</v>
      </c>
      <c r="P142" s="218"/>
    </row>
    <row r="143" spans="2:16" s="50" customFormat="1" ht="12.75">
      <c r="B143" s="25"/>
      <c r="C143" s="28"/>
      <c r="D143" s="28">
        <v>4270</v>
      </c>
      <c r="E143" s="29" t="s">
        <v>46</v>
      </c>
      <c r="F143" s="43">
        <v>57776</v>
      </c>
      <c r="G143" s="87">
        <v>4500</v>
      </c>
      <c r="H143" s="87"/>
      <c r="I143" s="87"/>
      <c r="J143" s="87"/>
      <c r="K143" s="87"/>
      <c r="L143" s="87"/>
      <c r="M143" s="87"/>
      <c r="N143" s="87"/>
      <c r="O143" s="136">
        <f t="shared" si="41"/>
        <v>62276</v>
      </c>
      <c r="P143" s="218"/>
    </row>
    <row r="144" spans="2:16" s="50" customFormat="1" ht="12.75">
      <c r="B144" s="25"/>
      <c r="C144" s="28"/>
      <c r="D144" s="28">
        <v>4280</v>
      </c>
      <c r="E144" s="29" t="s">
        <v>70</v>
      </c>
      <c r="F144" s="43">
        <v>7900</v>
      </c>
      <c r="G144" s="87">
        <v>100</v>
      </c>
      <c r="H144" s="87"/>
      <c r="I144" s="87"/>
      <c r="J144" s="87"/>
      <c r="K144" s="87"/>
      <c r="L144" s="87"/>
      <c r="M144" s="87"/>
      <c r="N144" s="87"/>
      <c r="O144" s="136">
        <f t="shared" si="41"/>
        <v>8000</v>
      </c>
      <c r="P144" s="218"/>
    </row>
    <row r="145" spans="2:16" s="50" customFormat="1" ht="12.75">
      <c r="B145" s="25"/>
      <c r="C145" s="28"/>
      <c r="D145" s="28">
        <v>4300</v>
      </c>
      <c r="E145" s="29" t="s">
        <v>47</v>
      </c>
      <c r="F145" s="43">
        <v>54703</v>
      </c>
      <c r="G145" s="87">
        <v>7300</v>
      </c>
      <c r="H145" s="87"/>
      <c r="I145" s="87"/>
      <c r="J145" s="87"/>
      <c r="K145" s="87"/>
      <c r="L145" s="87"/>
      <c r="M145" s="87"/>
      <c r="N145" s="87"/>
      <c r="O145" s="136">
        <f t="shared" si="41"/>
        <v>62003</v>
      </c>
      <c r="P145" s="218"/>
    </row>
    <row r="146" spans="2:16" s="50" customFormat="1" ht="12.75">
      <c r="B146" s="25"/>
      <c r="C146" s="28"/>
      <c r="D146" s="28">
        <v>4350</v>
      </c>
      <c r="E146" s="29" t="s">
        <v>71</v>
      </c>
      <c r="F146" s="43">
        <v>11000</v>
      </c>
      <c r="G146" s="115">
        <v>-1300</v>
      </c>
      <c r="H146" s="87"/>
      <c r="I146" s="87"/>
      <c r="J146" s="87"/>
      <c r="K146" s="87"/>
      <c r="L146" s="87"/>
      <c r="M146" s="87"/>
      <c r="N146" s="87"/>
      <c r="O146" s="136">
        <f t="shared" si="41"/>
        <v>9700</v>
      </c>
      <c r="P146" s="218"/>
    </row>
    <row r="147" spans="2:16" s="50" customFormat="1" ht="25.5">
      <c r="B147" s="25"/>
      <c r="C147" s="28"/>
      <c r="D147" s="28">
        <v>4360</v>
      </c>
      <c r="E147" s="29" t="s">
        <v>72</v>
      </c>
      <c r="F147" s="43">
        <v>4981</v>
      </c>
      <c r="G147" s="87">
        <v>100</v>
      </c>
      <c r="H147" s="87"/>
      <c r="I147" s="87"/>
      <c r="J147" s="87"/>
      <c r="K147" s="87"/>
      <c r="L147" s="87"/>
      <c r="M147" s="87"/>
      <c r="N147" s="87"/>
      <c r="O147" s="136">
        <f t="shared" si="41"/>
        <v>5081</v>
      </c>
      <c r="P147" s="218"/>
    </row>
    <row r="148" spans="2:16" s="50" customFormat="1" ht="25.5">
      <c r="B148" s="25"/>
      <c r="C148" s="28"/>
      <c r="D148" s="28">
        <v>4370</v>
      </c>
      <c r="E148" s="29" t="s">
        <v>73</v>
      </c>
      <c r="F148" s="43">
        <v>12300</v>
      </c>
      <c r="G148" s="115">
        <v>-2600</v>
      </c>
      <c r="H148" s="87"/>
      <c r="I148" s="87"/>
      <c r="J148" s="87"/>
      <c r="K148" s="87"/>
      <c r="L148" s="87"/>
      <c r="M148" s="87"/>
      <c r="N148" s="87"/>
      <c r="O148" s="136">
        <f t="shared" si="41"/>
        <v>9700</v>
      </c>
      <c r="P148" s="218"/>
    </row>
    <row r="149" spans="2:16" s="50" customFormat="1" ht="12.75">
      <c r="B149" s="25"/>
      <c r="C149" s="28"/>
      <c r="D149" s="28">
        <v>4410</v>
      </c>
      <c r="E149" s="29" t="s">
        <v>66</v>
      </c>
      <c r="F149" s="43">
        <v>7800</v>
      </c>
      <c r="G149" s="115">
        <v>-700</v>
      </c>
      <c r="H149" s="87"/>
      <c r="I149" s="87"/>
      <c r="J149" s="87"/>
      <c r="K149" s="87"/>
      <c r="L149" s="87"/>
      <c r="M149" s="87"/>
      <c r="N149" s="87"/>
      <c r="O149" s="136">
        <f t="shared" si="41"/>
        <v>7100</v>
      </c>
      <c r="P149" s="218"/>
    </row>
    <row r="150" spans="2:16" s="50" customFormat="1" ht="12.75">
      <c r="B150" s="25"/>
      <c r="C150" s="28"/>
      <c r="D150" s="28">
        <v>4430</v>
      </c>
      <c r="E150" s="29" t="s">
        <v>160</v>
      </c>
      <c r="F150" s="43">
        <v>5000</v>
      </c>
      <c r="G150" s="87"/>
      <c r="H150" s="87"/>
      <c r="I150" s="87"/>
      <c r="J150" s="87"/>
      <c r="K150" s="87"/>
      <c r="L150" s="87"/>
      <c r="M150" s="87"/>
      <c r="N150" s="87"/>
      <c r="O150" s="136">
        <f t="shared" si="41"/>
        <v>5000</v>
      </c>
      <c r="P150" s="218"/>
    </row>
    <row r="151" spans="2:16" s="50" customFormat="1" ht="25.5">
      <c r="B151" s="25"/>
      <c r="C151" s="28"/>
      <c r="D151" s="28">
        <v>4440</v>
      </c>
      <c r="E151" s="29" t="s">
        <v>74</v>
      </c>
      <c r="F151" s="43">
        <v>105977</v>
      </c>
      <c r="G151" s="87"/>
      <c r="H151" s="87"/>
      <c r="I151" s="87"/>
      <c r="J151" s="87"/>
      <c r="K151" s="87"/>
      <c r="L151" s="87"/>
      <c r="M151" s="87"/>
      <c r="N151" s="87"/>
      <c r="O151" s="136">
        <f t="shared" si="41"/>
        <v>105977</v>
      </c>
      <c r="P151" s="218"/>
    </row>
    <row r="152" spans="2:16" s="50" customFormat="1" ht="25.5">
      <c r="B152" s="25"/>
      <c r="C152" s="28"/>
      <c r="D152" s="28">
        <v>4740</v>
      </c>
      <c r="E152" s="29" t="s">
        <v>75</v>
      </c>
      <c r="F152" s="43">
        <v>3959</v>
      </c>
      <c r="G152" s="87"/>
      <c r="H152" s="87"/>
      <c r="I152" s="87"/>
      <c r="J152" s="87"/>
      <c r="K152" s="87"/>
      <c r="L152" s="87"/>
      <c r="M152" s="87"/>
      <c r="N152" s="87"/>
      <c r="O152" s="136">
        <f t="shared" si="41"/>
        <v>3959</v>
      </c>
      <c r="P152" s="218"/>
    </row>
    <row r="153" spans="2:16" s="50" customFormat="1" ht="25.5">
      <c r="B153" s="25"/>
      <c r="C153" s="28"/>
      <c r="D153" s="28">
        <v>4750</v>
      </c>
      <c r="E153" s="29" t="s">
        <v>76</v>
      </c>
      <c r="F153" s="43">
        <v>16400</v>
      </c>
      <c r="G153" s="87">
        <v>200</v>
      </c>
      <c r="H153" s="87"/>
      <c r="I153" s="87"/>
      <c r="J153" s="87"/>
      <c r="K153" s="87"/>
      <c r="L153" s="87"/>
      <c r="M153" s="87"/>
      <c r="N153" s="87"/>
      <c r="O153" s="136">
        <f t="shared" si="41"/>
        <v>16600</v>
      </c>
      <c r="P153" s="218"/>
    </row>
    <row r="154" spans="2:16" s="50" customFormat="1" ht="12.75">
      <c r="B154" s="25"/>
      <c r="C154" s="28"/>
      <c r="D154" s="28">
        <v>6050</v>
      </c>
      <c r="E154" s="29" t="s">
        <v>50</v>
      </c>
      <c r="F154" s="43">
        <v>3800</v>
      </c>
      <c r="G154" s="87">
        <v>1000</v>
      </c>
      <c r="H154" s="87"/>
      <c r="I154" s="87"/>
      <c r="J154" s="87"/>
      <c r="K154" s="87"/>
      <c r="L154" s="87"/>
      <c r="M154" s="87"/>
      <c r="N154" s="87"/>
      <c r="O154" s="136">
        <f t="shared" si="41"/>
        <v>4800</v>
      </c>
      <c r="P154" s="218"/>
    </row>
    <row r="155" spans="2:16" s="50" customFormat="1" ht="25.5">
      <c r="B155" s="25"/>
      <c r="C155" s="28"/>
      <c r="D155" s="28">
        <v>6060</v>
      </c>
      <c r="E155" s="29" t="s">
        <v>61</v>
      </c>
      <c r="F155" s="43">
        <v>21197</v>
      </c>
      <c r="G155" s="87">
        <v>4900</v>
      </c>
      <c r="H155" s="87"/>
      <c r="I155" s="87"/>
      <c r="J155" s="87"/>
      <c r="K155" s="87"/>
      <c r="L155" s="87"/>
      <c r="M155" s="87"/>
      <c r="N155" s="87"/>
      <c r="O155" s="136">
        <f>F155+G155+H155+I155+J155+K155+L155+M155+N155</f>
        <v>26097</v>
      </c>
      <c r="P155" s="218"/>
    </row>
    <row r="156" spans="2:16" s="50" customFormat="1" ht="12.75">
      <c r="B156" s="25"/>
      <c r="C156" s="15">
        <v>80103</v>
      </c>
      <c r="D156" s="15"/>
      <c r="E156" s="18" t="s">
        <v>161</v>
      </c>
      <c r="F156" s="60">
        <f>SUM(F157:F174)</f>
        <v>390496</v>
      </c>
      <c r="G156" s="137">
        <f>SUM(G157:G174)</f>
        <v>-7000</v>
      </c>
      <c r="H156" s="61">
        <f aca="true" t="shared" si="42" ref="H156:N156">SUM(H157:H174)</f>
        <v>0</v>
      </c>
      <c r="I156" s="61">
        <f t="shared" si="42"/>
        <v>0</v>
      </c>
      <c r="J156" s="61">
        <f t="shared" si="42"/>
        <v>0</v>
      </c>
      <c r="K156" s="61">
        <f t="shared" si="42"/>
        <v>0</v>
      </c>
      <c r="L156" s="61">
        <f t="shared" si="42"/>
        <v>0</v>
      </c>
      <c r="M156" s="61">
        <f t="shared" si="42"/>
        <v>0</v>
      </c>
      <c r="N156" s="61">
        <f t="shared" si="42"/>
        <v>0</v>
      </c>
      <c r="O156" s="174">
        <f>SUM(O157:O174)</f>
        <v>383496</v>
      </c>
      <c r="P156" s="320"/>
    </row>
    <row r="157" spans="2:16" s="50" customFormat="1" ht="25.5">
      <c r="B157" s="25"/>
      <c r="C157" s="28"/>
      <c r="D157" s="28">
        <v>3020</v>
      </c>
      <c r="E157" s="29" t="s">
        <v>67</v>
      </c>
      <c r="F157" s="43">
        <v>13390</v>
      </c>
      <c r="G157" s="115">
        <v>-4000</v>
      </c>
      <c r="H157" s="87"/>
      <c r="I157" s="87"/>
      <c r="J157" s="87"/>
      <c r="K157" s="87"/>
      <c r="L157" s="87"/>
      <c r="M157" s="87"/>
      <c r="N157" s="87"/>
      <c r="O157" s="136">
        <f aca="true" t="shared" si="43" ref="O157:O174">F157+G157+H157+I157+J157+K157+L157+M157+N157</f>
        <v>9390</v>
      </c>
      <c r="P157" s="218"/>
    </row>
    <row r="158" spans="2:16" s="50" customFormat="1" ht="12.75" customHeight="1">
      <c r="B158" s="25"/>
      <c r="C158" s="28"/>
      <c r="D158" s="28">
        <v>4010</v>
      </c>
      <c r="E158" s="29" t="s">
        <v>63</v>
      </c>
      <c r="F158" s="43">
        <v>242078</v>
      </c>
      <c r="G158" s="87">
        <v>12000</v>
      </c>
      <c r="H158" s="87"/>
      <c r="I158" s="87"/>
      <c r="J158" s="87"/>
      <c r="K158" s="87"/>
      <c r="L158" s="87"/>
      <c r="M158" s="87"/>
      <c r="N158" s="87"/>
      <c r="O158" s="136">
        <f t="shared" si="43"/>
        <v>254078</v>
      </c>
      <c r="P158" s="218"/>
    </row>
    <row r="159" spans="2:16" s="50" customFormat="1" ht="12.75">
      <c r="B159" s="25"/>
      <c r="C159" s="28"/>
      <c r="D159" s="28">
        <v>4040</v>
      </c>
      <c r="E159" s="29" t="s">
        <v>68</v>
      </c>
      <c r="F159" s="43">
        <v>11580</v>
      </c>
      <c r="G159" s="87"/>
      <c r="H159" s="87"/>
      <c r="I159" s="87"/>
      <c r="J159" s="87"/>
      <c r="K159" s="87"/>
      <c r="L159" s="87"/>
      <c r="M159" s="87"/>
      <c r="N159" s="87"/>
      <c r="O159" s="136">
        <f t="shared" si="43"/>
        <v>11580</v>
      </c>
      <c r="P159" s="218"/>
    </row>
    <row r="160" spans="2:16" s="50" customFormat="1" ht="12.75">
      <c r="B160" s="25"/>
      <c r="C160" s="28"/>
      <c r="D160" s="28">
        <v>4110</v>
      </c>
      <c r="E160" s="29" t="s">
        <v>64</v>
      </c>
      <c r="F160" s="43">
        <v>40220</v>
      </c>
      <c r="G160" s="87">
        <v>5200</v>
      </c>
      <c r="H160" s="87"/>
      <c r="I160" s="87"/>
      <c r="J160" s="87"/>
      <c r="K160" s="87"/>
      <c r="L160" s="87"/>
      <c r="M160" s="87"/>
      <c r="N160" s="87"/>
      <c r="O160" s="136">
        <f t="shared" si="43"/>
        <v>45420</v>
      </c>
      <c r="P160" s="218"/>
    </row>
    <row r="161" spans="2:16" s="50" customFormat="1" ht="12.75">
      <c r="B161" s="25"/>
      <c r="C161" s="28"/>
      <c r="D161" s="28">
        <v>4120</v>
      </c>
      <c r="E161" s="29" t="s">
        <v>156</v>
      </c>
      <c r="F161" s="43">
        <v>6620</v>
      </c>
      <c r="G161" s="87">
        <v>500</v>
      </c>
      <c r="H161" s="87"/>
      <c r="I161" s="87"/>
      <c r="J161" s="87"/>
      <c r="K161" s="87"/>
      <c r="L161" s="87"/>
      <c r="M161" s="87"/>
      <c r="N161" s="87"/>
      <c r="O161" s="136">
        <f t="shared" si="43"/>
        <v>7120</v>
      </c>
      <c r="P161" s="218"/>
    </row>
    <row r="162" spans="2:16" s="50" customFormat="1" ht="12.75">
      <c r="B162" s="25"/>
      <c r="C162" s="28"/>
      <c r="D162" s="28">
        <v>4210</v>
      </c>
      <c r="E162" s="29" t="s">
        <v>45</v>
      </c>
      <c r="F162" s="43">
        <v>12000</v>
      </c>
      <c r="G162" s="115">
        <v>-500</v>
      </c>
      <c r="H162" s="87"/>
      <c r="I162" s="87"/>
      <c r="J162" s="87"/>
      <c r="K162" s="87"/>
      <c r="L162" s="87"/>
      <c r="M162" s="87"/>
      <c r="N162" s="87"/>
      <c r="O162" s="136">
        <f t="shared" si="43"/>
        <v>11500</v>
      </c>
      <c r="P162" s="218"/>
    </row>
    <row r="163" spans="2:16" s="50" customFormat="1" ht="12.75">
      <c r="B163" s="25"/>
      <c r="C163" s="28"/>
      <c r="D163" s="28">
        <v>4240</v>
      </c>
      <c r="E163" s="29" t="s">
        <v>159</v>
      </c>
      <c r="F163" s="43">
        <v>5000</v>
      </c>
      <c r="G163" s="115">
        <v>-2500</v>
      </c>
      <c r="H163" s="87"/>
      <c r="I163" s="87"/>
      <c r="J163" s="87"/>
      <c r="K163" s="87"/>
      <c r="L163" s="87"/>
      <c r="M163" s="87"/>
      <c r="N163" s="87"/>
      <c r="O163" s="136">
        <f t="shared" si="43"/>
        <v>2500</v>
      </c>
      <c r="P163" s="218"/>
    </row>
    <row r="164" spans="2:16" s="50" customFormat="1" ht="12.75">
      <c r="B164" s="25"/>
      <c r="C164" s="28"/>
      <c r="D164" s="28">
        <v>4260</v>
      </c>
      <c r="E164" s="29" t="s">
        <v>65</v>
      </c>
      <c r="F164" s="43">
        <v>9000</v>
      </c>
      <c r="G164" s="87"/>
      <c r="H164" s="87"/>
      <c r="I164" s="87"/>
      <c r="J164" s="87"/>
      <c r="K164" s="87"/>
      <c r="L164" s="87"/>
      <c r="M164" s="87"/>
      <c r="N164" s="87"/>
      <c r="O164" s="136">
        <f t="shared" si="43"/>
        <v>9000</v>
      </c>
      <c r="P164" s="218"/>
    </row>
    <row r="165" spans="2:16" s="50" customFormat="1" ht="12.75">
      <c r="B165" s="25"/>
      <c r="C165" s="28"/>
      <c r="D165" s="28">
        <v>4270</v>
      </c>
      <c r="E165" s="29" t="s">
        <v>46</v>
      </c>
      <c r="F165" s="43">
        <v>18400</v>
      </c>
      <c r="G165" s="115">
        <v>-14500</v>
      </c>
      <c r="H165" s="87"/>
      <c r="I165" s="87"/>
      <c r="J165" s="87"/>
      <c r="K165" s="87"/>
      <c r="L165" s="87"/>
      <c r="M165" s="87"/>
      <c r="N165" s="87"/>
      <c r="O165" s="136">
        <f t="shared" si="43"/>
        <v>3900</v>
      </c>
      <c r="P165" s="218"/>
    </row>
    <row r="166" spans="2:16" s="50" customFormat="1" ht="12.75">
      <c r="B166" s="25"/>
      <c r="C166" s="28"/>
      <c r="D166" s="28">
        <v>4280</v>
      </c>
      <c r="E166" s="29" t="s">
        <v>70</v>
      </c>
      <c r="F166" s="43">
        <v>800</v>
      </c>
      <c r="G166" s="115">
        <v>-200</v>
      </c>
      <c r="H166" s="87"/>
      <c r="I166" s="87"/>
      <c r="J166" s="87"/>
      <c r="K166" s="87"/>
      <c r="L166" s="87"/>
      <c r="M166" s="87"/>
      <c r="N166" s="87"/>
      <c r="O166" s="136">
        <f t="shared" si="43"/>
        <v>600</v>
      </c>
      <c r="P166" s="218"/>
    </row>
    <row r="167" spans="2:16" s="50" customFormat="1" ht="12.75">
      <c r="B167" s="25"/>
      <c r="C167" s="28"/>
      <c r="D167" s="28">
        <v>4300</v>
      </c>
      <c r="E167" s="29" t="s">
        <v>47</v>
      </c>
      <c r="F167" s="43">
        <v>4000</v>
      </c>
      <c r="G167" s="115">
        <v>-700</v>
      </c>
      <c r="H167" s="87"/>
      <c r="I167" s="87"/>
      <c r="J167" s="87"/>
      <c r="K167" s="87"/>
      <c r="L167" s="87"/>
      <c r="M167" s="87"/>
      <c r="N167" s="87"/>
      <c r="O167" s="136">
        <f t="shared" si="43"/>
        <v>3300</v>
      </c>
      <c r="P167" s="218"/>
    </row>
    <row r="168" spans="2:16" s="50" customFormat="1" ht="12.75">
      <c r="B168" s="25"/>
      <c r="C168" s="28"/>
      <c r="D168" s="28">
        <v>4350</v>
      </c>
      <c r="E168" s="29" t="s">
        <v>71</v>
      </c>
      <c r="F168" s="43">
        <v>2000</v>
      </c>
      <c r="G168" s="115">
        <v>-2000</v>
      </c>
      <c r="H168" s="87"/>
      <c r="I168" s="87"/>
      <c r="J168" s="87"/>
      <c r="K168" s="87"/>
      <c r="L168" s="87"/>
      <c r="M168" s="87"/>
      <c r="N168" s="87"/>
      <c r="O168" s="136">
        <f t="shared" si="43"/>
        <v>0</v>
      </c>
      <c r="P168" s="218"/>
    </row>
    <row r="169" spans="2:16" s="50" customFormat="1" ht="25.5">
      <c r="B169" s="25"/>
      <c r="C169" s="28"/>
      <c r="D169" s="28">
        <v>4370</v>
      </c>
      <c r="E169" s="29" t="s">
        <v>73</v>
      </c>
      <c r="F169" s="43">
        <v>1200</v>
      </c>
      <c r="G169" s="87"/>
      <c r="H169" s="87"/>
      <c r="I169" s="87"/>
      <c r="J169" s="87"/>
      <c r="K169" s="87"/>
      <c r="L169" s="87"/>
      <c r="M169" s="87"/>
      <c r="N169" s="87"/>
      <c r="O169" s="136">
        <f t="shared" si="43"/>
        <v>1200</v>
      </c>
      <c r="P169" s="218"/>
    </row>
    <row r="170" spans="2:16" s="50" customFormat="1" ht="12.75">
      <c r="B170" s="25"/>
      <c r="C170" s="28"/>
      <c r="D170" s="28">
        <v>4410</v>
      </c>
      <c r="E170" s="29" t="s">
        <v>66</v>
      </c>
      <c r="F170" s="43">
        <v>2000</v>
      </c>
      <c r="G170" s="115">
        <v>-300</v>
      </c>
      <c r="H170" s="87"/>
      <c r="I170" s="87"/>
      <c r="J170" s="87"/>
      <c r="K170" s="87"/>
      <c r="L170" s="87"/>
      <c r="M170" s="87"/>
      <c r="N170" s="87"/>
      <c r="O170" s="136">
        <f t="shared" si="43"/>
        <v>1700</v>
      </c>
      <c r="P170" s="218"/>
    </row>
    <row r="171" spans="2:16" s="50" customFormat="1" ht="14.25" customHeight="1">
      <c r="B171" s="25"/>
      <c r="C171" s="28"/>
      <c r="D171" s="28">
        <v>4440</v>
      </c>
      <c r="E171" s="29" t="s">
        <v>74</v>
      </c>
      <c r="F171" s="43">
        <v>16408</v>
      </c>
      <c r="G171" s="87"/>
      <c r="H171" s="87"/>
      <c r="I171" s="87"/>
      <c r="J171" s="87"/>
      <c r="K171" s="87"/>
      <c r="L171" s="87"/>
      <c r="M171" s="87"/>
      <c r="N171" s="87"/>
      <c r="O171" s="136">
        <f t="shared" si="43"/>
        <v>16408</v>
      </c>
      <c r="P171" s="218"/>
    </row>
    <row r="172" spans="2:16" s="50" customFormat="1" ht="25.5">
      <c r="B172" s="25"/>
      <c r="C172" s="28"/>
      <c r="D172" s="28">
        <v>4740</v>
      </c>
      <c r="E172" s="29" t="s">
        <v>75</v>
      </c>
      <c r="F172" s="43">
        <v>700</v>
      </c>
      <c r="G172" s="87"/>
      <c r="H172" s="87"/>
      <c r="I172" s="87"/>
      <c r="J172" s="87"/>
      <c r="K172" s="87"/>
      <c r="L172" s="87"/>
      <c r="M172" s="87"/>
      <c r="N172" s="87"/>
      <c r="O172" s="136">
        <f t="shared" si="43"/>
        <v>700</v>
      </c>
      <c r="P172" s="218"/>
    </row>
    <row r="173" spans="2:16" s="50" customFormat="1" ht="25.5">
      <c r="B173" s="25"/>
      <c r="C173" s="28"/>
      <c r="D173" s="28">
        <v>4750</v>
      </c>
      <c r="E173" s="29" t="s">
        <v>76</v>
      </c>
      <c r="F173" s="43">
        <v>1500</v>
      </c>
      <c r="G173" s="87"/>
      <c r="H173" s="87"/>
      <c r="I173" s="87"/>
      <c r="J173" s="87"/>
      <c r="K173" s="87"/>
      <c r="L173" s="87"/>
      <c r="M173" s="87"/>
      <c r="N173" s="87"/>
      <c r="O173" s="136">
        <f t="shared" si="43"/>
        <v>1500</v>
      </c>
      <c r="P173" s="218"/>
    </row>
    <row r="174" spans="2:16" s="50" customFormat="1" ht="12.75">
      <c r="B174" s="25"/>
      <c r="C174" s="28"/>
      <c r="D174" s="28">
        <v>6050</v>
      </c>
      <c r="E174" s="29" t="s">
        <v>50</v>
      </c>
      <c r="F174" s="43">
        <v>3600</v>
      </c>
      <c r="G174" s="87"/>
      <c r="H174" s="87"/>
      <c r="I174" s="87"/>
      <c r="J174" s="87"/>
      <c r="K174" s="87"/>
      <c r="L174" s="87"/>
      <c r="M174" s="87"/>
      <c r="N174" s="87"/>
      <c r="O174" s="136">
        <f t="shared" si="43"/>
        <v>3600</v>
      </c>
      <c r="P174" s="218"/>
    </row>
    <row r="175" spans="2:16" s="50" customFormat="1" ht="12.75">
      <c r="B175" s="25"/>
      <c r="C175" s="15">
        <v>80104</v>
      </c>
      <c r="D175" s="15"/>
      <c r="E175" s="18" t="s">
        <v>38</v>
      </c>
      <c r="F175" s="60">
        <f>SUM(F176:F199)</f>
        <v>1128740</v>
      </c>
      <c r="G175" s="61">
        <f>SUM(G176:G199)</f>
        <v>4000</v>
      </c>
      <c r="H175" s="61">
        <f aca="true" t="shared" si="44" ref="H175:N175">SUM(H177:H199)</f>
        <v>0</v>
      </c>
      <c r="I175" s="61">
        <f t="shared" si="44"/>
        <v>0</v>
      </c>
      <c r="J175" s="61">
        <f t="shared" si="44"/>
        <v>0</v>
      </c>
      <c r="K175" s="61">
        <f t="shared" si="44"/>
        <v>0</v>
      </c>
      <c r="L175" s="61">
        <f t="shared" si="44"/>
        <v>0</v>
      </c>
      <c r="M175" s="61">
        <f t="shared" si="44"/>
        <v>0</v>
      </c>
      <c r="N175" s="61">
        <f t="shared" si="44"/>
        <v>0</v>
      </c>
      <c r="O175" s="174">
        <f>SUM(O176:O199)</f>
        <v>1132740</v>
      </c>
      <c r="P175" s="320"/>
    </row>
    <row r="176" spans="2:16" s="50" customFormat="1" ht="51">
      <c r="B176" s="25"/>
      <c r="C176" s="15"/>
      <c r="D176" s="28">
        <v>2310</v>
      </c>
      <c r="E176" s="29" t="s">
        <v>261</v>
      </c>
      <c r="F176" s="43">
        <v>41400</v>
      </c>
      <c r="G176" s="115">
        <v>-3000</v>
      </c>
      <c r="H176" s="61"/>
      <c r="I176" s="61"/>
      <c r="J176" s="61"/>
      <c r="K176" s="61"/>
      <c r="L176" s="61"/>
      <c r="M176" s="61"/>
      <c r="N176" s="61"/>
      <c r="O176" s="136">
        <f aca="true" t="shared" si="45" ref="O176:O199">F176+G176+H176+I176+J176+K176+L176+M176+N176</f>
        <v>38400</v>
      </c>
      <c r="P176" s="218"/>
    </row>
    <row r="177" spans="2:16" s="50" customFormat="1" ht="12.75">
      <c r="B177" s="30"/>
      <c r="C177" s="28"/>
      <c r="D177" s="28">
        <v>2540</v>
      </c>
      <c r="E177" s="29" t="s">
        <v>162</v>
      </c>
      <c r="F177" s="43">
        <v>192600</v>
      </c>
      <c r="G177" s="115">
        <v>-16000</v>
      </c>
      <c r="H177" s="87"/>
      <c r="I177" s="87"/>
      <c r="J177" s="87"/>
      <c r="K177" s="87"/>
      <c r="L177" s="87"/>
      <c r="M177" s="87"/>
      <c r="N177" s="87"/>
      <c r="O177" s="136">
        <f t="shared" si="45"/>
        <v>176600</v>
      </c>
      <c r="P177" s="218"/>
    </row>
    <row r="178" spans="2:16" s="50" customFormat="1" ht="25.5">
      <c r="B178" s="25"/>
      <c r="C178" s="28"/>
      <c r="D178" s="28">
        <v>3020</v>
      </c>
      <c r="E178" s="29" t="s">
        <v>67</v>
      </c>
      <c r="F178" s="43">
        <v>25970</v>
      </c>
      <c r="G178" s="87"/>
      <c r="H178" s="87"/>
      <c r="I178" s="87"/>
      <c r="J178" s="87"/>
      <c r="K178" s="87"/>
      <c r="L178" s="87"/>
      <c r="M178" s="87"/>
      <c r="N178" s="87"/>
      <c r="O178" s="136">
        <f t="shared" si="45"/>
        <v>25970</v>
      </c>
      <c r="P178" s="218"/>
    </row>
    <row r="179" spans="2:16" s="50" customFormat="1" ht="12.75" customHeight="1">
      <c r="B179" s="25"/>
      <c r="C179" s="28"/>
      <c r="D179" s="28">
        <v>4010</v>
      </c>
      <c r="E179" s="29" t="s">
        <v>63</v>
      </c>
      <c r="F179" s="43">
        <v>530100</v>
      </c>
      <c r="G179" s="87">
        <v>28000</v>
      </c>
      <c r="H179" s="87"/>
      <c r="I179" s="87"/>
      <c r="J179" s="87"/>
      <c r="K179" s="87"/>
      <c r="L179" s="87"/>
      <c r="M179" s="87"/>
      <c r="N179" s="87"/>
      <c r="O179" s="136">
        <f t="shared" si="45"/>
        <v>558100</v>
      </c>
      <c r="P179" s="218"/>
    </row>
    <row r="180" spans="2:16" s="50" customFormat="1" ht="12.75">
      <c r="B180" s="25"/>
      <c r="C180" s="28"/>
      <c r="D180" s="28">
        <v>4040</v>
      </c>
      <c r="E180" s="29" t="s">
        <v>68</v>
      </c>
      <c r="F180" s="43">
        <v>37165</v>
      </c>
      <c r="G180" s="87"/>
      <c r="H180" s="87"/>
      <c r="I180" s="87"/>
      <c r="J180" s="87"/>
      <c r="K180" s="87"/>
      <c r="L180" s="87"/>
      <c r="M180" s="87"/>
      <c r="N180" s="87"/>
      <c r="O180" s="136">
        <f t="shared" si="45"/>
        <v>37165</v>
      </c>
      <c r="P180" s="218"/>
    </row>
    <row r="181" spans="2:16" s="50" customFormat="1" ht="12.75">
      <c r="B181" s="25"/>
      <c r="C181" s="28"/>
      <c r="D181" s="28">
        <v>4110</v>
      </c>
      <c r="E181" s="29" t="s">
        <v>64</v>
      </c>
      <c r="F181" s="43">
        <v>95800</v>
      </c>
      <c r="G181" s="115">
        <v>-2000</v>
      </c>
      <c r="H181" s="87"/>
      <c r="I181" s="87"/>
      <c r="J181" s="87"/>
      <c r="K181" s="87"/>
      <c r="L181" s="87"/>
      <c r="M181" s="87"/>
      <c r="N181" s="87"/>
      <c r="O181" s="136">
        <f t="shared" si="45"/>
        <v>93800</v>
      </c>
      <c r="P181" s="218"/>
    </row>
    <row r="182" spans="2:16" s="50" customFormat="1" ht="12.75">
      <c r="B182" s="25"/>
      <c r="C182" s="28"/>
      <c r="D182" s="28">
        <v>4120</v>
      </c>
      <c r="E182" s="29" t="s">
        <v>156</v>
      </c>
      <c r="F182" s="43">
        <v>11700</v>
      </c>
      <c r="G182" s="87">
        <v>3000</v>
      </c>
      <c r="H182" s="87"/>
      <c r="I182" s="87"/>
      <c r="J182" s="87"/>
      <c r="K182" s="87"/>
      <c r="L182" s="87"/>
      <c r="M182" s="87"/>
      <c r="N182" s="87"/>
      <c r="O182" s="136">
        <f t="shared" si="45"/>
        <v>14700</v>
      </c>
      <c r="P182" s="218"/>
    </row>
    <row r="183" spans="2:16" s="50" customFormat="1" ht="12.75">
      <c r="B183" s="25"/>
      <c r="C183" s="28"/>
      <c r="D183" s="28">
        <v>4170</v>
      </c>
      <c r="E183" s="29" t="s">
        <v>69</v>
      </c>
      <c r="F183" s="43">
        <v>15000</v>
      </c>
      <c r="G183" s="87"/>
      <c r="H183" s="87"/>
      <c r="I183" s="87"/>
      <c r="J183" s="87"/>
      <c r="K183" s="87"/>
      <c r="L183" s="87"/>
      <c r="M183" s="87"/>
      <c r="N183" s="87"/>
      <c r="O183" s="136">
        <f t="shared" si="45"/>
        <v>15000</v>
      </c>
      <c r="P183" s="218"/>
    </row>
    <row r="184" spans="2:16" s="50" customFormat="1" ht="12.75">
      <c r="B184" s="25"/>
      <c r="C184" s="28"/>
      <c r="D184" s="28">
        <v>4210</v>
      </c>
      <c r="E184" s="29" t="s">
        <v>45</v>
      </c>
      <c r="F184" s="43">
        <v>25000</v>
      </c>
      <c r="G184" s="87">
        <v>800</v>
      </c>
      <c r="H184" s="87"/>
      <c r="I184" s="87"/>
      <c r="J184" s="87"/>
      <c r="K184" s="87"/>
      <c r="L184" s="87"/>
      <c r="M184" s="87"/>
      <c r="N184" s="87"/>
      <c r="O184" s="136">
        <f t="shared" si="45"/>
        <v>25800</v>
      </c>
      <c r="P184" s="218"/>
    </row>
    <row r="185" spans="2:16" s="50" customFormat="1" ht="12.75">
      <c r="B185" s="25"/>
      <c r="C185" s="28"/>
      <c r="D185" s="28">
        <v>4240</v>
      </c>
      <c r="E185" s="29" t="s">
        <v>159</v>
      </c>
      <c r="F185" s="43">
        <v>7000</v>
      </c>
      <c r="G185" s="115">
        <v>-3000</v>
      </c>
      <c r="H185" s="87"/>
      <c r="I185" s="87"/>
      <c r="J185" s="87"/>
      <c r="K185" s="87"/>
      <c r="L185" s="87"/>
      <c r="M185" s="87"/>
      <c r="N185" s="87"/>
      <c r="O185" s="136">
        <f t="shared" si="45"/>
        <v>4000</v>
      </c>
      <c r="P185" s="218"/>
    </row>
    <row r="186" spans="2:16" s="50" customFormat="1" ht="12.75">
      <c r="B186" s="25"/>
      <c r="C186" s="28"/>
      <c r="D186" s="28">
        <v>4260</v>
      </c>
      <c r="E186" s="29" t="s">
        <v>65</v>
      </c>
      <c r="F186" s="43">
        <v>45000</v>
      </c>
      <c r="G186" s="87"/>
      <c r="H186" s="87"/>
      <c r="I186" s="87"/>
      <c r="J186" s="87"/>
      <c r="K186" s="87"/>
      <c r="L186" s="87"/>
      <c r="M186" s="87"/>
      <c r="N186" s="87"/>
      <c r="O186" s="136">
        <f t="shared" si="45"/>
        <v>45000</v>
      </c>
      <c r="P186" s="218"/>
    </row>
    <row r="187" spans="2:16" s="50" customFormat="1" ht="12.75">
      <c r="B187" s="25"/>
      <c r="C187" s="28"/>
      <c r="D187" s="28">
        <v>4270</v>
      </c>
      <c r="E187" s="29" t="s">
        <v>46</v>
      </c>
      <c r="F187" s="43">
        <v>4000</v>
      </c>
      <c r="G187" s="115">
        <v>-3000</v>
      </c>
      <c r="H187" s="87"/>
      <c r="I187" s="87"/>
      <c r="J187" s="87"/>
      <c r="K187" s="87"/>
      <c r="L187" s="87"/>
      <c r="M187" s="87"/>
      <c r="N187" s="87"/>
      <c r="O187" s="136">
        <f t="shared" si="45"/>
        <v>1000</v>
      </c>
      <c r="P187" s="218"/>
    </row>
    <row r="188" spans="2:16" s="50" customFormat="1" ht="12.75">
      <c r="B188" s="25"/>
      <c r="C188" s="28"/>
      <c r="D188" s="28">
        <v>4280</v>
      </c>
      <c r="E188" s="29" t="s">
        <v>70</v>
      </c>
      <c r="F188" s="43">
        <v>2765</v>
      </c>
      <c r="G188" s="87"/>
      <c r="H188" s="87"/>
      <c r="I188" s="87"/>
      <c r="J188" s="87"/>
      <c r="K188" s="87"/>
      <c r="L188" s="87"/>
      <c r="M188" s="87"/>
      <c r="N188" s="87"/>
      <c r="O188" s="136">
        <f t="shared" si="45"/>
        <v>2765</v>
      </c>
      <c r="P188" s="218"/>
    </row>
    <row r="189" spans="2:16" s="50" customFormat="1" ht="12.75">
      <c r="B189" s="25"/>
      <c r="C189" s="28"/>
      <c r="D189" s="28">
        <v>4300</v>
      </c>
      <c r="E189" s="29" t="s">
        <v>47</v>
      </c>
      <c r="F189" s="43">
        <v>13500</v>
      </c>
      <c r="G189" s="87">
        <v>2000</v>
      </c>
      <c r="H189" s="87"/>
      <c r="I189" s="87"/>
      <c r="J189" s="87"/>
      <c r="K189" s="87"/>
      <c r="L189" s="87"/>
      <c r="M189" s="87"/>
      <c r="N189" s="87"/>
      <c r="O189" s="136">
        <f t="shared" si="45"/>
        <v>15500</v>
      </c>
      <c r="P189" s="218"/>
    </row>
    <row r="190" spans="2:16" s="50" customFormat="1" ht="12.75">
      <c r="B190" s="25"/>
      <c r="C190" s="28"/>
      <c r="D190" s="28">
        <v>4350</v>
      </c>
      <c r="E190" s="29" t="s">
        <v>71</v>
      </c>
      <c r="F190" s="43">
        <v>1600</v>
      </c>
      <c r="G190" s="87"/>
      <c r="H190" s="87"/>
      <c r="I190" s="87"/>
      <c r="J190" s="87"/>
      <c r="K190" s="87"/>
      <c r="L190" s="87"/>
      <c r="M190" s="87"/>
      <c r="N190" s="87"/>
      <c r="O190" s="136">
        <f t="shared" si="45"/>
        <v>1600</v>
      </c>
      <c r="P190" s="218"/>
    </row>
    <row r="191" spans="2:16" s="50" customFormat="1" ht="25.5">
      <c r="B191" s="25"/>
      <c r="C191" s="28"/>
      <c r="D191" s="28">
        <v>4360</v>
      </c>
      <c r="E191" s="29" t="s">
        <v>72</v>
      </c>
      <c r="F191" s="43">
        <v>1000</v>
      </c>
      <c r="G191" s="87"/>
      <c r="H191" s="87"/>
      <c r="I191" s="87"/>
      <c r="J191" s="87"/>
      <c r="K191" s="87"/>
      <c r="L191" s="87"/>
      <c r="M191" s="87"/>
      <c r="N191" s="87"/>
      <c r="O191" s="136">
        <f t="shared" si="45"/>
        <v>1000</v>
      </c>
      <c r="P191" s="218"/>
    </row>
    <row r="192" spans="2:16" s="50" customFormat="1" ht="25.5">
      <c r="B192" s="25"/>
      <c r="C192" s="28"/>
      <c r="D192" s="28">
        <v>4370</v>
      </c>
      <c r="E192" s="29" t="s">
        <v>73</v>
      </c>
      <c r="F192" s="43">
        <v>3100</v>
      </c>
      <c r="G192" s="115">
        <v>-800</v>
      </c>
      <c r="H192" s="87"/>
      <c r="I192" s="87"/>
      <c r="J192" s="87"/>
      <c r="K192" s="87"/>
      <c r="L192" s="87"/>
      <c r="M192" s="87"/>
      <c r="N192" s="87"/>
      <c r="O192" s="136">
        <f t="shared" si="45"/>
        <v>2300</v>
      </c>
      <c r="P192" s="218"/>
    </row>
    <row r="193" spans="2:16" s="50" customFormat="1" ht="12.75">
      <c r="B193" s="25"/>
      <c r="C193" s="28"/>
      <c r="D193" s="28">
        <v>4410</v>
      </c>
      <c r="E193" s="29" t="s">
        <v>66</v>
      </c>
      <c r="F193" s="43">
        <v>1300</v>
      </c>
      <c r="G193" s="87"/>
      <c r="H193" s="87"/>
      <c r="I193" s="87"/>
      <c r="J193" s="87"/>
      <c r="K193" s="87"/>
      <c r="L193" s="87"/>
      <c r="M193" s="87"/>
      <c r="N193" s="87"/>
      <c r="O193" s="136">
        <f t="shared" si="45"/>
        <v>1300</v>
      </c>
      <c r="P193" s="218"/>
    </row>
    <row r="194" spans="2:16" s="50" customFormat="1" ht="12.75">
      <c r="B194" s="25"/>
      <c r="C194" s="28"/>
      <c r="D194" s="28">
        <v>4430</v>
      </c>
      <c r="E194" s="29" t="s">
        <v>160</v>
      </c>
      <c r="F194" s="43">
        <v>760</v>
      </c>
      <c r="G194" s="87"/>
      <c r="H194" s="87"/>
      <c r="I194" s="87"/>
      <c r="J194" s="87"/>
      <c r="K194" s="87"/>
      <c r="L194" s="87"/>
      <c r="M194" s="87"/>
      <c r="N194" s="87"/>
      <c r="O194" s="136">
        <f t="shared" si="45"/>
        <v>760</v>
      </c>
      <c r="P194" s="218"/>
    </row>
    <row r="195" spans="2:16" s="50" customFormat="1" ht="17.25" customHeight="1">
      <c r="B195" s="25"/>
      <c r="C195" s="28"/>
      <c r="D195" s="28">
        <v>4440</v>
      </c>
      <c r="E195" s="29" t="s">
        <v>74</v>
      </c>
      <c r="F195" s="43">
        <v>31980</v>
      </c>
      <c r="G195" s="87"/>
      <c r="H195" s="87"/>
      <c r="I195" s="87"/>
      <c r="J195" s="87"/>
      <c r="K195" s="87"/>
      <c r="L195" s="87"/>
      <c r="M195" s="87"/>
      <c r="N195" s="87"/>
      <c r="O195" s="136">
        <f t="shared" si="45"/>
        <v>31980</v>
      </c>
      <c r="P195" s="218"/>
    </row>
    <row r="196" spans="2:16" s="50" customFormat="1" ht="25.5">
      <c r="B196" s="25"/>
      <c r="C196" s="28"/>
      <c r="D196" s="28">
        <v>4740</v>
      </c>
      <c r="E196" s="29" t="s">
        <v>75</v>
      </c>
      <c r="F196" s="43">
        <v>5500</v>
      </c>
      <c r="G196" s="115">
        <v>-2000</v>
      </c>
      <c r="H196" s="87"/>
      <c r="I196" s="87"/>
      <c r="J196" s="87"/>
      <c r="K196" s="87"/>
      <c r="L196" s="87"/>
      <c r="M196" s="87"/>
      <c r="N196" s="87"/>
      <c r="O196" s="136">
        <f t="shared" si="45"/>
        <v>3500</v>
      </c>
      <c r="P196" s="218"/>
    </row>
    <row r="197" spans="2:16" s="50" customFormat="1" ht="25.5">
      <c r="B197" s="25"/>
      <c r="C197" s="28"/>
      <c r="D197" s="28">
        <v>4750</v>
      </c>
      <c r="E197" s="29" t="s">
        <v>76</v>
      </c>
      <c r="F197" s="43">
        <v>1500</v>
      </c>
      <c r="G197" s="87"/>
      <c r="H197" s="87"/>
      <c r="I197" s="87"/>
      <c r="J197" s="87"/>
      <c r="K197" s="87"/>
      <c r="L197" s="87"/>
      <c r="M197" s="87"/>
      <c r="N197" s="87"/>
      <c r="O197" s="136">
        <f t="shared" si="45"/>
        <v>1500</v>
      </c>
      <c r="P197" s="218"/>
    </row>
    <row r="198" spans="2:16" s="50" customFormat="1" ht="12.75">
      <c r="B198" s="25"/>
      <c r="C198" s="28"/>
      <c r="D198" s="28">
        <v>6050</v>
      </c>
      <c r="E198" s="29" t="s">
        <v>50</v>
      </c>
      <c r="F198" s="43">
        <v>35000</v>
      </c>
      <c r="G198" s="87"/>
      <c r="H198" s="87"/>
      <c r="I198" s="87"/>
      <c r="J198" s="87"/>
      <c r="K198" s="87"/>
      <c r="L198" s="87"/>
      <c r="M198" s="87"/>
      <c r="N198" s="87"/>
      <c r="O198" s="136">
        <f t="shared" si="45"/>
        <v>35000</v>
      </c>
      <c r="P198" s="218"/>
    </row>
    <row r="199" spans="2:16" s="50" customFormat="1" ht="25.5" customHeight="1" hidden="1">
      <c r="B199" s="25"/>
      <c r="C199" s="28"/>
      <c r="D199" s="28">
        <v>6060</v>
      </c>
      <c r="E199" s="29" t="s">
        <v>61</v>
      </c>
      <c r="F199" s="43"/>
      <c r="G199" s="87"/>
      <c r="H199" s="87"/>
      <c r="I199" s="87"/>
      <c r="J199" s="87"/>
      <c r="K199" s="87"/>
      <c r="L199" s="87"/>
      <c r="M199" s="87"/>
      <c r="N199" s="87"/>
      <c r="O199" s="136">
        <f t="shared" si="45"/>
        <v>0</v>
      </c>
      <c r="P199" s="218"/>
    </row>
    <row r="200" spans="2:16" s="50" customFormat="1" ht="12.75">
      <c r="B200" s="25"/>
      <c r="C200" s="15">
        <v>80110</v>
      </c>
      <c r="D200" s="15"/>
      <c r="E200" s="18" t="s">
        <v>39</v>
      </c>
      <c r="F200" s="60">
        <f>SUM(F201:F222)</f>
        <v>1793426</v>
      </c>
      <c r="G200" s="137">
        <f>SUM(G201:G222)</f>
        <v>-23286</v>
      </c>
      <c r="H200" s="61">
        <f aca="true" t="shared" si="46" ref="H200:N200">SUM(H201:H222)</f>
        <v>0</v>
      </c>
      <c r="I200" s="61">
        <f t="shared" si="46"/>
        <v>0</v>
      </c>
      <c r="J200" s="61">
        <f t="shared" si="46"/>
        <v>0</v>
      </c>
      <c r="K200" s="61">
        <f t="shared" si="46"/>
        <v>0</v>
      </c>
      <c r="L200" s="61">
        <f t="shared" si="46"/>
        <v>0</v>
      </c>
      <c r="M200" s="61">
        <f t="shared" si="46"/>
        <v>0</v>
      </c>
      <c r="N200" s="61">
        <f t="shared" si="46"/>
        <v>0</v>
      </c>
      <c r="O200" s="174">
        <f>SUM(O201:O222)</f>
        <v>1770140</v>
      </c>
      <c r="P200" s="320"/>
    </row>
    <row r="201" spans="2:16" s="50" customFormat="1" ht="25.5">
      <c r="B201" s="25"/>
      <c r="C201" s="15"/>
      <c r="D201" s="28">
        <v>3020</v>
      </c>
      <c r="E201" s="29" t="s">
        <v>67</v>
      </c>
      <c r="F201" s="43">
        <v>82220</v>
      </c>
      <c r="G201" s="115">
        <v>-17000</v>
      </c>
      <c r="H201" s="87"/>
      <c r="I201" s="87"/>
      <c r="J201" s="87"/>
      <c r="K201" s="87"/>
      <c r="L201" s="87"/>
      <c r="M201" s="87"/>
      <c r="N201" s="87"/>
      <c r="O201" s="136">
        <f aca="true" t="shared" si="47" ref="O201:O222">F201+G201+H201+I201+J201+K201+L201+M201+N201</f>
        <v>65220</v>
      </c>
      <c r="P201" s="218"/>
    </row>
    <row r="202" spans="2:16" s="50" customFormat="1" ht="12.75">
      <c r="B202" s="25"/>
      <c r="C202" s="15"/>
      <c r="D202" s="28">
        <v>4010</v>
      </c>
      <c r="E202" s="29" t="s">
        <v>63</v>
      </c>
      <c r="F202" s="43">
        <v>1094394</v>
      </c>
      <c r="G202" s="115">
        <v>-6000</v>
      </c>
      <c r="H202" s="87"/>
      <c r="I202" s="87"/>
      <c r="J202" s="87"/>
      <c r="K202" s="87"/>
      <c r="L202" s="87"/>
      <c r="M202" s="87"/>
      <c r="N202" s="87"/>
      <c r="O202" s="136">
        <f t="shared" si="47"/>
        <v>1088394</v>
      </c>
      <c r="P202" s="218"/>
    </row>
    <row r="203" spans="2:16" s="50" customFormat="1" ht="12.75">
      <c r="B203" s="25"/>
      <c r="C203" s="15"/>
      <c r="D203" s="28">
        <v>4040</v>
      </c>
      <c r="E203" s="29" t="s">
        <v>68</v>
      </c>
      <c r="F203" s="43">
        <v>81100</v>
      </c>
      <c r="G203" s="87"/>
      <c r="H203" s="87"/>
      <c r="I203" s="87"/>
      <c r="J203" s="87"/>
      <c r="K203" s="87"/>
      <c r="L203" s="87"/>
      <c r="M203" s="87"/>
      <c r="N203" s="87"/>
      <c r="O203" s="136">
        <f t="shared" si="47"/>
        <v>81100</v>
      </c>
      <c r="P203" s="218"/>
    </row>
    <row r="204" spans="2:16" s="50" customFormat="1" ht="12.75">
      <c r="B204" s="25"/>
      <c r="C204" s="60"/>
      <c r="D204" s="28">
        <v>4110</v>
      </c>
      <c r="E204" s="29" t="s">
        <v>64</v>
      </c>
      <c r="F204" s="43">
        <v>190500</v>
      </c>
      <c r="G204" s="115">
        <v>-3286</v>
      </c>
      <c r="H204" s="87"/>
      <c r="I204" s="87"/>
      <c r="J204" s="87"/>
      <c r="K204" s="87"/>
      <c r="L204" s="87"/>
      <c r="M204" s="87"/>
      <c r="N204" s="87"/>
      <c r="O204" s="136">
        <f t="shared" si="47"/>
        <v>187214</v>
      </c>
      <c r="P204" s="218"/>
    </row>
    <row r="205" spans="2:16" s="50" customFormat="1" ht="12.75">
      <c r="B205" s="25"/>
      <c r="C205" s="15"/>
      <c r="D205" s="28">
        <v>4120</v>
      </c>
      <c r="E205" s="29" t="s">
        <v>156</v>
      </c>
      <c r="F205" s="43">
        <v>30000</v>
      </c>
      <c r="G205" s="87"/>
      <c r="H205" s="87"/>
      <c r="I205" s="87"/>
      <c r="J205" s="87"/>
      <c r="K205" s="87"/>
      <c r="L205" s="87"/>
      <c r="M205" s="87"/>
      <c r="N205" s="87"/>
      <c r="O205" s="136">
        <f t="shared" si="47"/>
        <v>30000</v>
      </c>
      <c r="P205" s="218"/>
    </row>
    <row r="206" spans="2:16" s="50" customFormat="1" ht="12.75">
      <c r="B206" s="25"/>
      <c r="C206" s="15"/>
      <c r="D206" s="28">
        <v>4210</v>
      </c>
      <c r="E206" s="29" t="s">
        <v>45</v>
      </c>
      <c r="F206" s="43">
        <v>37889</v>
      </c>
      <c r="G206" s="87">
        <v>4000</v>
      </c>
      <c r="H206" s="87"/>
      <c r="I206" s="87"/>
      <c r="J206" s="87"/>
      <c r="K206" s="87"/>
      <c r="L206" s="87"/>
      <c r="M206" s="87"/>
      <c r="N206" s="87"/>
      <c r="O206" s="136">
        <f t="shared" si="47"/>
        <v>41889</v>
      </c>
      <c r="P206" s="218"/>
    </row>
    <row r="207" spans="2:16" s="50" customFormat="1" ht="12.75">
      <c r="B207" s="25"/>
      <c r="C207" s="15"/>
      <c r="D207" s="28">
        <v>4240</v>
      </c>
      <c r="E207" s="29" t="s">
        <v>159</v>
      </c>
      <c r="F207" s="43">
        <v>3000</v>
      </c>
      <c r="G207" s="87"/>
      <c r="H207" s="87"/>
      <c r="I207" s="87"/>
      <c r="J207" s="87"/>
      <c r="K207" s="87"/>
      <c r="L207" s="87"/>
      <c r="M207" s="87"/>
      <c r="N207" s="87"/>
      <c r="O207" s="136">
        <f t="shared" si="47"/>
        <v>3000</v>
      </c>
      <c r="P207" s="218"/>
    </row>
    <row r="208" spans="2:16" s="50" customFormat="1" ht="12.75">
      <c r="B208" s="25"/>
      <c r="C208" s="15"/>
      <c r="D208" s="28">
        <v>4260</v>
      </c>
      <c r="E208" s="29" t="s">
        <v>65</v>
      </c>
      <c r="F208" s="43">
        <v>94900</v>
      </c>
      <c r="G208" s="115">
        <v>-1000</v>
      </c>
      <c r="H208" s="87"/>
      <c r="I208" s="87"/>
      <c r="J208" s="87"/>
      <c r="K208" s="87"/>
      <c r="L208" s="87"/>
      <c r="M208" s="87"/>
      <c r="N208" s="87"/>
      <c r="O208" s="136">
        <f t="shared" si="47"/>
        <v>93900</v>
      </c>
      <c r="P208" s="218"/>
    </row>
    <row r="209" spans="2:16" s="50" customFormat="1" ht="12.75">
      <c r="B209" s="25"/>
      <c r="C209" s="15"/>
      <c r="D209" s="28">
        <v>4270</v>
      </c>
      <c r="E209" s="29" t="s">
        <v>46</v>
      </c>
      <c r="F209" s="43">
        <v>16000</v>
      </c>
      <c r="G209" s="115">
        <v>-1000</v>
      </c>
      <c r="H209" s="87"/>
      <c r="I209" s="87"/>
      <c r="J209" s="87"/>
      <c r="K209" s="87"/>
      <c r="L209" s="87"/>
      <c r="M209" s="87"/>
      <c r="N209" s="87"/>
      <c r="O209" s="136">
        <f t="shared" si="47"/>
        <v>15000</v>
      </c>
      <c r="P209" s="218"/>
    </row>
    <row r="210" spans="2:16" s="50" customFormat="1" ht="12.75">
      <c r="B210" s="25"/>
      <c r="C210" s="15"/>
      <c r="D210" s="28">
        <v>4280</v>
      </c>
      <c r="E210" s="29" t="s">
        <v>70</v>
      </c>
      <c r="F210" s="43">
        <v>3400</v>
      </c>
      <c r="G210" s="87"/>
      <c r="H210" s="87"/>
      <c r="I210" s="87"/>
      <c r="J210" s="87"/>
      <c r="K210" s="87"/>
      <c r="L210" s="87"/>
      <c r="M210" s="87"/>
      <c r="N210" s="87"/>
      <c r="O210" s="136">
        <f t="shared" si="47"/>
        <v>3400</v>
      </c>
      <c r="P210" s="218"/>
    </row>
    <row r="211" spans="2:16" s="50" customFormat="1" ht="12.75">
      <c r="B211" s="25"/>
      <c r="C211" s="15"/>
      <c r="D211" s="28">
        <v>4300</v>
      </c>
      <c r="E211" s="29" t="s">
        <v>47</v>
      </c>
      <c r="F211" s="43">
        <v>24000</v>
      </c>
      <c r="G211" s="87">
        <v>4000</v>
      </c>
      <c r="H211" s="87"/>
      <c r="I211" s="87"/>
      <c r="J211" s="87"/>
      <c r="K211" s="87"/>
      <c r="L211" s="87"/>
      <c r="M211" s="87"/>
      <c r="N211" s="87"/>
      <c r="O211" s="136">
        <f t="shared" si="47"/>
        <v>28000</v>
      </c>
      <c r="P211" s="218"/>
    </row>
    <row r="212" spans="2:16" s="50" customFormat="1" ht="12.75">
      <c r="B212" s="25"/>
      <c r="C212" s="15"/>
      <c r="D212" s="28">
        <v>4350</v>
      </c>
      <c r="E212" s="29" t="s">
        <v>71</v>
      </c>
      <c r="F212" s="43">
        <v>3600</v>
      </c>
      <c r="G212" s="87"/>
      <c r="H212" s="87"/>
      <c r="I212" s="87"/>
      <c r="J212" s="87"/>
      <c r="K212" s="87"/>
      <c r="L212" s="87"/>
      <c r="M212" s="87"/>
      <c r="N212" s="87"/>
      <c r="O212" s="136">
        <f t="shared" si="47"/>
        <v>3600</v>
      </c>
      <c r="P212" s="218"/>
    </row>
    <row r="213" spans="2:16" s="50" customFormat="1" ht="25.5">
      <c r="B213" s="25"/>
      <c r="C213" s="15"/>
      <c r="D213" s="28">
        <v>4360</v>
      </c>
      <c r="E213" s="29" t="s">
        <v>72</v>
      </c>
      <c r="F213" s="43">
        <v>1900</v>
      </c>
      <c r="G213" s="87"/>
      <c r="H213" s="87"/>
      <c r="I213" s="87"/>
      <c r="J213" s="87"/>
      <c r="K213" s="87"/>
      <c r="L213" s="87"/>
      <c r="M213" s="87"/>
      <c r="N213" s="87"/>
      <c r="O213" s="136">
        <f t="shared" si="47"/>
        <v>1900</v>
      </c>
      <c r="P213" s="218"/>
    </row>
    <row r="214" spans="2:16" s="50" customFormat="1" ht="25.5">
      <c r="B214" s="25"/>
      <c r="C214" s="15"/>
      <c r="D214" s="28">
        <v>4370</v>
      </c>
      <c r="E214" s="29" t="s">
        <v>73</v>
      </c>
      <c r="F214" s="43">
        <v>5600</v>
      </c>
      <c r="G214" s="115">
        <v>-1000</v>
      </c>
      <c r="H214" s="87"/>
      <c r="I214" s="87"/>
      <c r="J214" s="87"/>
      <c r="K214" s="87"/>
      <c r="L214" s="87"/>
      <c r="M214" s="87"/>
      <c r="N214" s="87"/>
      <c r="O214" s="136">
        <f t="shared" si="47"/>
        <v>4600</v>
      </c>
      <c r="P214" s="218"/>
    </row>
    <row r="215" spans="2:16" s="50" customFormat="1" ht="12.75">
      <c r="B215" s="25"/>
      <c r="C215" s="15"/>
      <c r="D215" s="28">
        <v>4410</v>
      </c>
      <c r="E215" s="29" t="s">
        <v>66</v>
      </c>
      <c r="F215" s="43">
        <v>5200</v>
      </c>
      <c r="G215" s="115">
        <v>-500</v>
      </c>
      <c r="H215" s="87"/>
      <c r="I215" s="87"/>
      <c r="J215" s="87"/>
      <c r="K215" s="87"/>
      <c r="L215" s="87"/>
      <c r="M215" s="87"/>
      <c r="N215" s="87"/>
      <c r="O215" s="136">
        <f t="shared" si="47"/>
        <v>4700</v>
      </c>
      <c r="P215" s="218"/>
    </row>
    <row r="216" spans="2:16" s="50" customFormat="1" ht="12.75">
      <c r="B216" s="25"/>
      <c r="C216" s="15"/>
      <c r="D216" s="28">
        <v>4420</v>
      </c>
      <c r="E216" s="29" t="s">
        <v>227</v>
      </c>
      <c r="F216" s="43">
        <v>3000</v>
      </c>
      <c r="G216" s="87"/>
      <c r="H216" s="87"/>
      <c r="I216" s="87"/>
      <c r="J216" s="87"/>
      <c r="K216" s="87"/>
      <c r="L216" s="87"/>
      <c r="M216" s="87"/>
      <c r="N216" s="87"/>
      <c r="O216" s="136">
        <f t="shared" si="47"/>
        <v>3000</v>
      </c>
      <c r="P216" s="218"/>
    </row>
    <row r="217" spans="2:16" s="50" customFormat="1" ht="12.75">
      <c r="B217" s="25"/>
      <c r="C217" s="15"/>
      <c r="D217" s="28">
        <v>4430</v>
      </c>
      <c r="E217" s="29" t="s">
        <v>160</v>
      </c>
      <c r="F217" s="43">
        <v>7000</v>
      </c>
      <c r="G217" s="87"/>
      <c r="H217" s="87"/>
      <c r="I217" s="87"/>
      <c r="J217" s="87"/>
      <c r="K217" s="87"/>
      <c r="L217" s="87"/>
      <c r="M217" s="87"/>
      <c r="N217" s="87"/>
      <c r="O217" s="136">
        <f t="shared" si="47"/>
        <v>7000</v>
      </c>
      <c r="P217" s="218"/>
    </row>
    <row r="218" spans="2:16" s="50" customFormat="1" ht="25.5">
      <c r="B218" s="25"/>
      <c r="C218" s="15"/>
      <c r="D218" s="28">
        <v>4440</v>
      </c>
      <c r="E218" s="29" t="s">
        <v>74</v>
      </c>
      <c r="F218" s="43">
        <v>70612</v>
      </c>
      <c r="G218" s="87"/>
      <c r="H218" s="87"/>
      <c r="I218" s="87"/>
      <c r="J218" s="87"/>
      <c r="K218" s="87"/>
      <c r="L218" s="87"/>
      <c r="M218" s="87"/>
      <c r="N218" s="87"/>
      <c r="O218" s="136">
        <f t="shared" si="47"/>
        <v>70612</v>
      </c>
      <c r="P218" s="218"/>
    </row>
    <row r="219" spans="2:16" s="50" customFormat="1" ht="25.5">
      <c r="B219" s="25"/>
      <c r="C219" s="15"/>
      <c r="D219" s="28">
        <v>4740</v>
      </c>
      <c r="E219" s="29" t="s">
        <v>75</v>
      </c>
      <c r="F219" s="43">
        <v>3500</v>
      </c>
      <c r="G219" s="115">
        <v>-1500</v>
      </c>
      <c r="H219" s="87"/>
      <c r="I219" s="87"/>
      <c r="J219" s="87"/>
      <c r="K219" s="87"/>
      <c r="L219" s="87"/>
      <c r="M219" s="87"/>
      <c r="N219" s="87"/>
      <c r="O219" s="136">
        <f t="shared" si="47"/>
        <v>2000</v>
      </c>
      <c r="P219" s="218"/>
    </row>
    <row r="220" spans="2:16" s="50" customFormat="1" ht="28.5" customHeight="1">
      <c r="B220" s="25"/>
      <c r="C220" s="15"/>
      <c r="D220" s="28">
        <v>4750</v>
      </c>
      <c r="E220" s="29" t="s">
        <v>76</v>
      </c>
      <c r="F220" s="43">
        <v>9500</v>
      </c>
      <c r="G220" s="87"/>
      <c r="H220" s="87"/>
      <c r="I220" s="87"/>
      <c r="J220" s="87"/>
      <c r="K220" s="87"/>
      <c r="L220" s="87"/>
      <c r="M220" s="87"/>
      <c r="N220" s="87"/>
      <c r="O220" s="136">
        <f t="shared" si="47"/>
        <v>9500</v>
      </c>
      <c r="P220" s="218"/>
    </row>
    <row r="221" spans="2:16" s="50" customFormat="1" ht="12.75">
      <c r="B221" s="25"/>
      <c r="C221" s="15"/>
      <c r="D221" s="28">
        <v>6050</v>
      </c>
      <c r="E221" s="29" t="s">
        <v>50</v>
      </c>
      <c r="F221" s="43">
        <v>21300</v>
      </c>
      <c r="G221" s="87"/>
      <c r="H221" s="87"/>
      <c r="I221" s="87"/>
      <c r="J221" s="87"/>
      <c r="K221" s="87"/>
      <c r="L221" s="87"/>
      <c r="M221" s="87"/>
      <c r="N221" s="87"/>
      <c r="O221" s="136">
        <f t="shared" si="47"/>
        <v>21300</v>
      </c>
      <c r="P221" s="218"/>
    </row>
    <row r="222" spans="2:16" s="50" customFormat="1" ht="25.5">
      <c r="B222" s="25"/>
      <c r="C222" s="15"/>
      <c r="D222" s="28">
        <v>6060</v>
      </c>
      <c r="E222" s="29" t="s">
        <v>61</v>
      </c>
      <c r="F222" s="43">
        <v>4811</v>
      </c>
      <c r="G222" s="87"/>
      <c r="H222" s="87"/>
      <c r="I222" s="87"/>
      <c r="J222" s="87"/>
      <c r="K222" s="87"/>
      <c r="L222" s="87"/>
      <c r="M222" s="87"/>
      <c r="N222" s="87"/>
      <c r="O222" s="136">
        <f t="shared" si="47"/>
        <v>4811</v>
      </c>
      <c r="P222" s="218"/>
    </row>
    <row r="223" spans="2:16" s="50" customFormat="1" ht="12.75">
      <c r="B223" s="25"/>
      <c r="C223" s="15">
        <v>80113</v>
      </c>
      <c r="D223" s="15"/>
      <c r="E223" s="18" t="s">
        <v>164</v>
      </c>
      <c r="F223" s="60">
        <f>SUM(F224:F231)</f>
        <v>374440</v>
      </c>
      <c r="G223" s="61">
        <f>SUM(G224:G231)</f>
        <v>26000</v>
      </c>
      <c r="H223" s="61">
        <f aca="true" t="shared" si="48" ref="H223:N223">SUM(H224:H231)</f>
        <v>0</v>
      </c>
      <c r="I223" s="61">
        <f t="shared" si="48"/>
        <v>0</v>
      </c>
      <c r="J223" s="61">
        <f t="shared" si="48"/>
        <v>0</v>
      </c>
      <c r="K223" s="61">
        <f t="shared" si="48"/>
        <v>0</v>
      </c>
      <c r="L223" s="61">
        <f t="shared" si="48"/>
        <v>0</v>
      </c>
      <c r="M223" s="61">
        <f t="shared" si="48"/>
        <v>0</v>
      </c>
      <c r="N223" s="61">
        <f t="shared" si="48"/>
        <v>0</v>
      </c>
      <c r="O223" s="174">
        <f>SUM(O224:O231)</f>
        <v>400440</v>
      </c>
      <c r="P223" s="320"/>
    </row>
    <row r="224" spans="2:16" s="50" customFormat="1" ht="25.5">
      <c r="B224" s="25"/>
      <c r="C224" s="15"/>
      <c r="D224" s="28">
        <v>3020</v>
      </c>
      <c r="E224" s="29" t="s">
        <v>67</v>
      </c>
      <c r="F224" s="43">
        <v>300</v>
      </c>
      <c r="G224" s="87"/>
      <c r="H224" s="87"/>
      <c r="I224" s="87"/>
      <c r="J224" s="87"/>
      <c r="K224" s="87"/>
      <c r="L224" s="87"/>
      <c r="M224" s="87"/>
      <c r="N224" s="87"/>
      <c r="O224" s="136">
        <f aca="true" t="shared" si="49" ref="O224:O231">F224+G224+H224+I224+J224+K224+L224+M224+N224</f>
        <v>300</v>
      </c>
      <c r="P224" s="218"/>
    </row>
    <row r="225" spans="2:16" s="50" customFormat="1" ht="12.75">
      <c r="B225" s="25"/>
      <c r="C225" s="15"/>
      <c r="D225" s="28">
        <v>4010</v>
      </c>
      <c r="E225" s="29" t="s">
        <v>63</v>
      </c>
      <c r="F225" s="43">
        <v>31528</v>
      </c>
      <c r="G225" s="87">
        <v>4500</v>
      </c>
      <c r="H225" s="87"/>
      <c r="I225" s="87"/>
      <c r="J225" s="87"/>
      <c r="K225" s="87"/>
      <c r="L225" s="87"/>
      <c r="M225" s="87"/>
      <c r="N225" s="87"/>
      <c r="O225" s="136">
        <f t="shared" si="49"/>
        <v>36028</v>
      </c>
      <c r="P225" s="218"/>
    </row>
    <row r="226" spans="2:16" s="50" customFormat="1" ht="12.75">
      <c r="B226" s="25"/>
      <c r="C226" s="15"/>
      <c r="D226" s="28">
        <v>4040</v>
      </c>
      <c r="E226" s="29" t="s">
        <v>68</v>
      </c>
      <c r="F226" s="43">
        <v>2572</v>
      </c>
      <c r="G226" s="87"/>
      <c r="H226" s="87"/>
      <c r="I226" s="87"/>
      <c r="J226" s="87"/>
      <c r="K226" s="87"/>
      <c r="L226" s="87"/>
      <c r="M226" s="87"/>
      <c r="N226" s="87"/>
      <c r="O226" s="136">
        <f t="shared" si="49"/>
        <v>2572</v>
      </c>
      <c r="P226" s="218"/>
    </row>
    <row r="227" spans="2:16" s="50" customFormat="1" ht="12.75">
      <c r="B227" s="25"/>
      <c r="C227" s="15"/>
      <c r="D227" s="28">
        <v>4110</v>
      </c>
      <c r="E227" s="29" t="s">
        <v>64</v>
      </c>
      <c r="F227" s="43">
        <v>5300</v>
      </c>
      <c r="G227" s="87">
        <v>850</v>
      </c>
      <c r="H227" s="87"/>
      <c r="I227" s="87"/>
      <c r="J227" s="87"/>
      <c r="K227" s="87"/>
      <c r="L227" s="87"/>
      <c r="M227" s="87"/>
      <c r="N227" s="87"/>
      <c r="O227" s="136">
        <f t="shared" si="49"/>
        <v>6150</v>
      </c>
      <c r="P227" s="218"/>
    </row>
    <row r="228" spans="2:16" s="50" customFormat="1" ht="12.75">
      <c r="B228" s="25"/>
      <c r="C228" s="15"/>
      <c r="D228" s="28">
        <v>4120</v>
      </c>
      <c r="E228" s="29" t="s">
        <v>156</v>
      </c>
      <c r="F228" s="43">
        <v>840</v>
      </c>
      <c r="G228" s="87">
        <v>150</v>
      </c>
      <c r="H228" s="87"/>
      <c r="I228" s="87"/>
      <c r="J228" s="87"/>
      <c r="K228" s="87"/>
      <c r="L228" s="87"/>
      <c r="M228" s="87"/>
      <c r="N228" s="87"/>
      <c r="O228" s="136">
        <f t="shared" si="49"/>
        <v>990</v>
      </c>
      <c r="P228" s="218"/>
    </row>
    <row r="229" spans="2:16" s="50" customFormat="1" ht="12.75">
      <c r="B229" s="25"/>
      <c r="C229" s="15"/>
      <c r="D229" s="28">
        <v>4280</v>
      </c>
      <c r="E229" s="29" t="s">
        <v>70</v>
      </c>
      <c r="F229" s="43">
        <v>200</v>
      </c>
      <c r="G229" s="87"/>
      <c r="H229" s="87"/>
      <c r="I229" s="87"/>
      <c r="J229" s="87"/>
      <c r="K229" s="87"/>
      <c r="L229" s="87"/>
      <c r="M229" s="87"/>
      <c r="N229" s="87"/>
      <c r="O229" s="136">
        <f t="shared" si="49"/>
        <v>200</v>
      </c>
      <c r="P229" s="218"/>
    </row>
    <row r="230" spans="2:16" s="50" customFormat="1" ht="12.75">
      <c r="B230" s="25"/>
      <c r="C230" s="28"/>
      <c r="D230" s="28">
        <v>4300</v>
      </c>
      <c r="E230" s="29" t="s">
        <v>47</v>
      </c>
      <c r="F230" s="43">
        <v>332000</v>
      </c>
      <c r="G230" s="87">
        <v>20500</v>
      </c>
      <c r="H230" s="87"/>
      <c r="I230" s="87"/>
      <c r="J230" s="87"/>
      <c r="K230" s="87"/>
      <c r="L230" s="87"/>
      <c r="M230" s="87"/>
      <c r="N230" s="87"/>
      <c r="O230" s="136">
        <f t="shared" si="49"/>
        <v>352500</v>
      </c>
      <c r="P230" s="218"/>
    </row>
    <row r="231" spans="2:16" s="50" customFormat="1" ht="25.5">
      <c r="B231" s="25"/>
      <c r="C231" s="28"/>
      <c r="D231" s="28">
        <v>4440</v>
      </c>
      <c r="E231" s="29" t="s">
        <v>74</v>
      </c>
      <c r="F231" s="43">
        <v>1700</v>
      </c>
      <c r="G231" s="87"/>
      <c r="H231" s="87"/>
      <c r="I231" s="87"/>
      <c r="J231" s="87"/>
      <c r="K231" s="87"/>
      <c r="L231" s="87"/>
      <c r="M231" s="87"/>
      <c r="N231" s="87"/>
      <c r="O231" s="136">
        <f t="shared" si="49"/>
        <v>1700</v>
      </c>
      <c r="P231" s="218"/>
    </row>
    <row r="232" spans="2:16" s="50" customFormat="1" ht="12.75">
      <c r="B232" s="25"/>
      <c r="C232" s="15">
        <v>80114</v>
      </c>
      <c r="D232" s="15"/>
      <c r="E232" s="18" t="s">
        <v>82</v>
      </c>
      <c r="F232" s="60">
        <f>SUM(F233:F246)</f>
        <v>213750</v>
      </c>
      <c r="G232" s="61">
        <f>SUM(G233:G246)</f>
        <v>9000</v>
      </c>
      <c r="H232" s="61">
        <f aca="true" t="shared" si="50" ref="H232:N232">SUM(H233:H246)</f>
        <v>0</v>
      </c>
      <c r="I232" s="61">
        <f t="shared" si="50"/>
        <v>0</v>
      </c>
      <c r="J232" s="61">
        <f t="shared" si="50"/>
        <v>0</v>
      </c>
      <c r="K232" s="61">
        <f t="shared" si="50"/>
        <v>0</v>
      </c>
      <c r="L232" s="61">
        <f t="shared" si="50"/>
        <v>0</v>
      </c>
      <c r="M232" s="61">
        <f t="shared" si="50"/>
        <v>0</v>
      </c>
      <c r="N232" s="61">
        <f t="shared" si="50"/>
        <v>0</v>
      </c>
      <c r="O232" s="174">
        <f>SUM(O233:O246)</f>
        <v>222750</v>
      </c>
      <c r="P232" s="320"/>
    </row>
    <row r="233" spans="2:16" s="50" customFormat="1" ht="25.5">
      <c r="B233" s="25"/>
      <c r="C233" s="28"/>
      <c r="D233" s="28">
        <v>3020</v>
      </c>
      <c r="E233" s="29" t="s">
        <v>67</v>
      </c>
      <c r="F233" s="43">
        <v>500</v>
      </c>
      <c r="G233" s="87"/>
      <c r="H233" s="87"/>
      <c r="I233" s="87"/>
      <c r="J233" s="87"/>
      <c r="K233" s="87"/>
      <c r="L233" s="87"/>
      <c r="M233" s="87"/>
      <c r="N233" s="87"/>
      <c r="O233" s="136">
        <f aca="true" t="shared" si="51" ref="O233:O246">F233+G233+H233+I233+J233+K233+L233+M233+N233</f>
        <v>500</v>
      </c>
      <c r="P233" s="218"/>
    </row>
    <row r="234" spans="2:16" s="50" customFormat="1" ht="12.75" customHeight="1">
      <c r="B234" s="25"/>
      <c r="C234" s="28"/>
      <c r="D234" s="28">
        <v>4010</v>
      </c>
      <c r="E234" s="29" t="s">
        <v>63</v>
      </c>
      <c r="F234" s="43">
        <v>146600</v>
      </c>
      <c r="G234" s="87">
        <v>3500</v>
      </c>
      <c r="H234" s="87"/>
      <c r="I234" s="87"/>
      <c r="J234" s="87"/>
      <c r="K234" s="87"/>
      <c r="L234" s="87"/>
      <c r="M234" s="87"/>
      <c r="N234" s="87"/>
      <c r="O234" s="136">
        <f t="shared" si="51"/>
        <v>150100</v>
      </c>
      <c r="P234" s="218"/>
    </row>
    <row r="235" spans="2:16" s="50" customFormat="1" ht="12.75">
      <c r="B235" s="25"/>
      <c r="C235" s="28"/>
      <c r="D235" s="28">
        <v>4040</v>
      </c>
      <c r="E235" s="29" t="s">
        <v>68</v>
      </c>
      <c r="F235" s="43">
        <v>9284</v>
      </c>
      <c r="G235" s="87"/>
      <c r="H235" s="87"/>
      <c r="I235" s="87"/>
      <c r="J235" s="87"/>
      <c r="K235" s="87"/>
      <c r="L235" s="87"/>
      <c r="M235" s="87"/>
      <c r="N235" s="87"/>
      <c r="O235" s="136">
        <f t="shared" si="51"/>
        <v>9284</v>
      </c>
      <c r="P235" s="218"/>
    </row>
    <row r="236" spans="2:16" s="50" customFormat="1" ht="12.75">
      <c r="B236" s="25"/>
      <c r="C236" s="28"/>
      <c r="D236" s="28">
        <v>4110</v>
      </c>
      <c r="E236" s="29" t="s">
        <v>64</v>
      </c>
      <c r="F236" s="43">
        <v>20950</v>
      </c>
      <c r="G236" s="87">
        <v>5000</v>
      </c>
      <c r="H236" s="87"/>
      <c r="I236" s="87"/>
      <c r="J236" s="87"/>
      <c r="K236" s="87"/>
      <c r="L236" s="87"/>
      <c r="M236" s="87"/>
      <c r="N236" s="87"/>
      <c r="O236" s="136">
        <f t="shared" si="51"/>
        <v>25950</v>
      </c>
      <c r="P236" s="218"/>
    </row>
    <row r="237" spans="2:16" s="50" customFormat="1" ht="12.75">
      <c r="B237" s="25"/>
      <c r="C237" s="28"/>
      <c r="D237" s="28">
        <v>4120</v>
      </c>
      <c r="E237" s="29" t="s">
        <v>156</v>
      </c>
      <c r="F237" s="43">
        <v>3350</v>
      </c>
      <c r="G237" s="87">
        <v>650</v>
      </c>
      <c r="H237" s="87"/>
      <c r="I237" s="87"/>
      <c r="J237" s="87"/>
      <c r="K237" s="87"/>
      <c r="L237" s="87"/>
      <c r="M237" s="87"/>
      <c r="N237" s="87"/>
      <c r="O237" s="136">
        <f t="shared" si="51"/>
        <v>4000</v>
      </c>
      <c r="P237" s="218"/>
    </row>
    <row r="238" spans="2:16" s="50" customFormat="1" ht="12.75">
      <c r="B238" s="25"/>
      <c r="C238" s="28"/>
      <c r="D238" s="28">
        <v>4210</v>
      </c>
      <c r="E238" s="29" t="s">
        <v>45</v>
      </c>
      <c r="F238" s="43">
        <v>4000</v>
      </c>
      <c r="G238" s="87"/>
      <c r="H238" s="87"/>
      <c r="I238" s="87"/>
      <c r="J238" s="87"/>
      <c r="K238" s="87"/>
      <c r="L238" s="87"/>
      <c r="M238" s="87"/>
      <c r="N238" s="87"/>
      <c r="O238" s="136">
        <f t="shared" si="51"/>
        <v>4000</v>
      </c>
      <c r="P238" s="218"/>
    </row>
    <row r="239" spans="2:16" s="50" customFormat="1" ht="12.75">
      <c r="B239" s="25"/>
      <c r="C239" s="28"/>
      <c r="D239" s="28">
        <v>4270</v>
      </c>
      <c r="E239" s="29" t="s">
        <v>46</v>
      </c>
      <c r="F239" s="43">
        <v>4800</v>
      </c>
      <c r="G239" s="115">
        <v>-1000</v>
      </c>
      <c r="H239" s="87"/>
      <c r="I239" s="87"/>
      <c r="J239" s="87"/>
      <c r="K239" s="87"/>
      <c r="L239" s="87"/>
      <c r="M239" s="87"/>
      <c r="N239" s="87"/>
      <c r="O239" s="136">
        <f t="shared" si="51"/>
        <v>3800</v>
      </c>
      <c r="P239" s="218"/>
    </row>
    <row r="240" spans="2:16" s="50" customFormat="1" ht="12.75" customHeight="1">
      <c r="B240" s="25"/>
      <c r="C240" s="28"/>
      <c r="D240" s="28">
        <v>4280</v>
      </c>
      <c r="E240" s="29" t="s">
        <v>70</v>
      </c>
      <c r="F240" s="43">
        <v>300</v>
      </c>
      <c r="G240" s="87"/>
      <c r="H240" s="87"/>
      <c r="I240" s="87"/>
      <c r="J240" s="87"/>
      <c r="K240" s="87"/>
      <c r="L240" s="87"/>
      <c r="M240" s="87"/>
      <c r="N240" s="87"/>
      <c r="O240" s="136">
        <f t="shared" si="51"/>
        <v>300</v>
      </c>
      <c r="P240" s="218"/>
    </row>
    <row r="241" spans="2:16" s="50" customFormat="1" ht="12.75">
      <c r="B241" s="25"/>
      <c r="C241" s="28"/>
      <c r="D241" s="28">
        <v>4300</v>
      </c>
      <c r="E241" s="29" t="s">
        <v>47</v>
      </c>
      <c r="F241" s="43">
        <v>8500</v>
      </c>
      <c r="G241" s="87">
        <v>1000</v>
      </c>
      <c r="H241" s="87"/>
      <c r="I241" s="87"/>
      <c r="J241" s="87"/>
      <c r="K241" s="87"/>
      <c r="L241" s="87"/>
      <c r="M241" s="87"/>
      <c r="N241" s="87"/>
      <c r="O241" s="136">
        <f t="shared" si="51"/>
        <v>9500</v>
      </c>
      <c r="P241" s="218"/>
    </row>
    <row r="242" spans="2:16" s="50" customFormat="1" ht="12.75">
      <c r="B242" s="25"/>
      <c r="C242" s="28"/>
      <c r="D242" s="28">
        <v>4410</v>
      </c>
      <c r="E242" s="29" t="s">
        <v>66</v>
      </c>
      <c r="F242" s="43">
        <v>2466</v>
      </c>
      <c r="G242" s="87"/>
      <c r="H242" s="87"/>
      <c r="I242" s="87"/>
      <c r="J242" s="87"/>
      <c r="K242" s="87"/>
      <c r="L242" s="87"/>
      <c r="M242" s="87"/>
      <c r="N242" s="87"/>
      <c r="O242" s="136">
        <f t="shared" si="51"/>
        <v>2466</v>
      </c>
      <c r="P242" s="218"/>
    </row>
    <row r="243" spans="2:16" s="50" customFormat="1" ht="25.5">
      <c r="B243" s="25"/>
      <c r="C243" s="28"/>
      <c r="D243" s="28">
        <v>4440</v>
      </c>
      <c r="E243" s="29" t="s">
        <v>74</v>
      </c>
      <c r="F243" s="43">
        <v>3300</v>
      </c>
      <c r="G243" s="87"/>
      <c r="H243" s="87"/>
      <c r="I243" s="87"/>
      <c r="J243" s="87"/>
      <c r="K243" s="87"/>
      <c r="L243" s="87"/>
      <c r="M243" s="87"/>
      <c r="N243" s="87"/>
      <c r="O243" s="136">
        <f t="shared" si="51"/>
        <v>3300</v>
      </c>
      <c r="P243" s="218"/>
    </row>
    <row r="244" spans="2:16" s="50" customFormat="1" ht="25.5">
      <c r="B244" s="25"/>
      <c r="C244" s="28"/>
      <c r="D244" s="28">
        <v>4740</v>
      </c>
      <c r="E244" s="29" t="s">
        <v>75</v>
      </c>
      <c r="F244" s="43">
        <v>500</v>
      </c>
      <c r="G244" s="115">
        <v>-150</v>
      </c>
      <c r="H244" s="87"/>
      <c r="I244" s="87"/>
      <c r="J244" s="87"/>
      <c r="K244" s="87"/>
      <c r="L244" s="87"/>
      <c r="M244" s="87"/>
      <c r="N244" s="87"/>
      <c r="O244" s="136">
        <f t="shared" si="51"/>
        <v>350</v>
      </c>
      <c r="P244" s="218"/>
    </row>
    <row r="245" spans="2:16" s="50" customFormat="1" ht="25.5">
      <c r="B245" s="25"/>
      <c r="C245" s="28"/>
      <c r="D245" s="28">
        <v>4750</v>
      </c>
      <c r="E245" s="29" t="s">
        <v>76</v>
      </c>
      <c r="F245" s="43">
        <v>4200</v>
      </c>
      <c r="G245" s="87"/>
      <c r="H245" s="87"/>
      <c r="I245" s="87"/>
      <c r="J245" s="87"/>
      <c r="K245" s="87"/>
      <c r="L245" s="87"/>
      <c r="M245" s="87"/>
      <c r="N245" s="87"/>
      <c r="O245" s="136">
        <f t="shared" si="51"/>
        <v>4200</v>
      </c>
      <c r="P245" s="218"/>
    </row>
    <row r="246" spans="2:16" s="50" customFormat="1" ht="25.5">
      <c r="B246" s="25"/>
      <c r="C246" s="28"/>
      <c r="D246" s="28">
        <v>6060</v>
      </c>
      <c r="E246" s="29" t="s">
        <v>61</v>
      </c>
      <c r="F246" s="43">
        <v>5000</v>
      </c>
      <c r="G246" s="87"/>
      <c r="H246" s="87"/>
      <c r="I246" s="87"/>
      <c r="J246" s="87"/>
      <c r="K246" s="87"/>
      <c r="L246" s="87"/>
      <c r="M246" s="87"/>
      <c r="N246" s="87"/>
      <c r="O246" s="136">
        <f t="shared" si="51"/>
        <v>5000</v>
      </c>
      <c r="P246" s="218"/>
    </row>
    <row r="247" spans="2:16" s="50" customFormat="1" ht="12.75" customHeight="1">
      <c r="B247" s="25"/>
      <c r="C247" s="15">
        <v>80146</v>
      </c>
      <c r="D247" s="15"/>
      <c r="E247" s="18" t="s">
        <v>165</v>
      </c>
      <c r="F247" s="60">
        <f>SUM(F248:F249)</f>
        <v>27430</v>
      </c>
      <c r="G247" s="61">
        <f>SUM(G248:G249)</f>
        <v>0</v>
      </c>
      <c r="H247" s="61">
        <f aca="true" t="shared" si="52" ref="H247:N247">H248</f>
        <v>0</v>
      </c>
      <c r="I247" s="61">
        <f t="shared" si="52"/>
        <v>0</v>
      </c>
      <c r="J247" s="61">
        <f t="shared" si="52"/>
        <v>0</v>
      </c>
      <c r="K247" s="61">
        <f t="shared" si="52"/>
        <v>0</v>
      </c>
      <c r="L247" s="61">
        <f t="shared" si="52"/>
        <v>0</v>
      </c>
      <c r="M247" s="61">
        <f t="shared" si="52"/>
        <v>0</v>
      </c>
      <c r="N247" s="61">
        <f t="shared" si="52"/>
        <v>0</v>
      </c>
      <c r="O247" s="174">
        <f>SUM(O248:O249)</f>
        <v>27430</v>
      </c>
      <c r="P247" s="320"/>
    </row>
    <row r="248" spans="2:16" s="50" customFormat="1" ht="13.5" customHeight="1">
      <c r="B248" s="25"/>
      <c r="C248" s="28"/>
      <c r="D248" s="28">
        <v>4300</v>
      </c>
      <c r="E248" s="29" t="s">
        <v>47</v>
      </c>
      <c r="F248" s="43">
        <v>24430</v>
      </c>
      <c r="G248" s="87"/>
      <c r="H248" s="87"/>
      <c r="I248" s="87"/>
      <c r="J248" s="87"/>
      <c r="K248" s="87"/>
      <c r="L248" s="87"/>
      <c r="M248" s="87"/>
      <c r="N248" s="87"/>
      <c r="O248" s="136">
        <f>F248+G248+H248+I248+J248+K248+L248+M248+N248</f>
        <v>24430</v>
      </c>
      <c r="P248" s="218"/>
    </row>
    <row r="249" spans="2:16" s="50" customFormat="1" ht="12.75">
      <c r="B249" s="25"/>
      <c r="C249" s="28"/>
      <c r="D249" s="28">
        <v>4410</v>
      </c>
      <c r="E249" s="29" t="s">
        <v>66</v>
      </c>
      <c r="F249" s="43">
        <v>3000</v>
      </c>
      <c r="G249" s="87"/>
      <c r="H249" s="87"/>
      <c r="I249" s="87"/>
      <c r="J249" s="87"/>
      <c r="K249" s="87"/>
      <c r="L249" s="87"/>
      <c r="M249" s="87"/>
      <c r="N249" s="87"/>
      <c r="O249" s="136">
        <f>F249+G249+H249+I249+J249+K249+L249+M249+N249</f>
        <v>3000</v>
      </c>
      <c r="P249" s="218"/>
    </row>
    <row r="250" spans="2:16" s="50" customFormat="1" ht="12.75">
      <c r="B250" s="25"/>
      <c r="C250" s="15">
        <v>80195</v>
      </c>
      <c r="D250" s="15"/>
      <c r="E250" s="18" t="s">
        <v>40</v>
      </c>
      <c r="F250" s="60">
        <f>SUM(F251:F254)</f>
        <v>226178</v>
      </c>
      <c r="G250" s="61">
        <f>SUM(G251:G254)</f>
        <v>0</v>
      </c>
      <c r="H250" s="61">
        <f aca="true" t="shared" si="53" ref="H250:N250">SUM(H251:H252)</f>
        <v>0</v>
      </c>
      <c r="I250" s="61">
        <f t="shared" si="53"/>
        <v>0</v>
      </c>
      <c r="J250" s="61">
        <f t="shared" si="53"/>
        <v>0</v>
      </c>
      <c r="K250" s="61">
        <f t="shared" si="53"/>
        <v>0</v>
      </c>
      <c r="L250" s="61">
        <f t="shared" si="53"/>
        <v>0</v>
      </c>
      <c r="M250" s="61">
        <f t="shared" si="53"/>
        <v>0</v>
      </c>
      <c r="N250" s="61">
        <f t="shared" si="53"/>
        <v>0</v>
      </c>
      <c r="O250" s="174">
        <f>SUM(O251:O254)</f>
        <v>226178</v>
      </c>
      <c r="P250" s="320"/>
    </row>
    <row r="251" spans="2:16" s="50" customFormat="1" ht="12.75">
      <c r="B251" s="30"/>
      <c r="C251" s="28"/>
      <c r="D251" s="28">
        <v>4300</v>
      </c>
      <c r="E251" s="29" t="s">
        <v>47</v>
      </c>
      <c r="F251" s="43">
        <v>122915</v>
      </c>
      <c r="G251" s="87"/>
      <c r="H251" s="87"/>
      <c r="I251" s="87"/>
      <c r="J251" s="87"/>
      <c r="K251" s="87"/>
      <c r="L251" s="87"/>
      <c r="M251" s="87"/>
      <c r="N251" s="87"/>
      <c r="O251" s="136">
        <f>F251+G251+H251+I251+J251+K251+L251+M251+N251</f>
        <v>122915</v>
      </c>
      <c r="P251" s="207"/>
    </row>
    <row r="252" spans="2:16" s="50" customFormat="1" ht="25.5">
      <c r="B252" s="25"/>
      <c r="C252" s="28"/>
      <c r="D252" s="28">
        <v>4440</v>
      </c>
      <c r="E252" s="29" t="s">
        <v>74</v>
      </c>
      <c r="F252" s="43">
        <v>37230</v>
      </c>
      <c r="G252" s="87"/>
      <c r="H252" s="87"/>
      <c r="I252" s="87"/>
      <c r="J252" s="87"/>
      <c r="K252" s="87"/>
      <c r="L252" s="87"/>
      <c r="M252" s="87"/>
      <c r="N252" s="87"/>
      <c r="O252" s="136">
        <f>F252+G252+H252+I252+J252+K252+L252+M252+N252</f>
        <v>37230</v>
      </c>
      <c r="P252" s="218"/>
    </row>
    <row r="253" spans="2:16" s="50" customFormat="1" ht="12.75">
      <c r="B253" s="25"/>
      <c r="C253" s="28"/>
      <c r="D253" s="28">
        <v>6050</v>
      </c>
      <c r="E253" s="29" t="s">
        <v>50</v>
      </c>
      <c r="F253" s="43">
        <v>19200</v>
      </c>
      <c r="G253" s="87"/>
      <c r="H253" s="87"/>
      <c r="I253" s="87"/>
      <c r="J253" s="87"/>
      <c r="K253" s="87"/>
      <c r="L253" s="87"/>
      <c r="M253" s="87"/>
      <c r="N253" s="87"/>
      <c r="O253" s="136">
        <f>F253+G253+H253+I253+J253+K253+L253+M253+N253</f>
        <v>19200</v>
      </c>
      <c r="P253" s="218"/>
    </row>
    <row r="254" spans="2:16" s="50" customFormat="1" ht="25.5">
      <c r="B254" s="25"/>
      <c r="C254" s="28"/>
      <c r="D254" s="28">
        <v>6060</v>
      </c>
      <c r="E254" s="29" t="s">
        <v>61</v>
      </c>
      <c r="F254" s="43">
        <v>46833</v>
      </c>
      <c r="G254" s="87"/>
      <c r="H254" s="87"/>
      <c r="I254" s="87"/>
      <c r="J254" s="87"/>
      <c r="K254" s="87"/>
      <c r="L254" s="87"/>
      <c r="M254" s="87"/>
      <c r="N254" s="87"/>
      <c r="O254" s="136">
        <f>F254+G254+H254+I254+J254+K254+L254+M254+N254</f>
        <v>46833</v>
      </c>
      <c r="P254" s="218"/>
    </row>
    <row r="255" spans="2:16" s="50" customFormat="1" ht="12.75" hidden="1">
      <c r="B255" s="31">
        <v>851</v>
      </c>
      <c r="C255" s="42"/>
      <c r="D255" s="42"/>
      <c r="E255" s="33" t="s">
        <v>98</v>
      </c>
      <c r="F255" s="69">
        <f>F261+F256+F273</f>
        <v>127840</v>
      </c>
      <c r="G255" s="70">
        <f>G261+G256+G273</f>
        <v>0</v>
      </c>
      <c r="H255" s="69">
        <f aca="true" t="shared" si="54" ref="H255:N255">H261+H256</f>
        <v>0</v>
      </c>
      <c r="I255" s="69">
        <f t="shared" si="54"/>
        <v>0</v>
      </c>
      <c r="J255" s="69">
        <f t="shared" si="54"/>
        <v>0</v>
      </c>
      <c r="K255" s="69">
        <f t="shared" si="54"/>
        <v>0</v>
      </c>
      <c r="L255" s="69">
        <f t="shared" si="54"/>
        <v>0</v>
      </c>
      <c r="M255" s="69">
        <f t="shared" si="54"/>
        <v>0</v>
      </c>
      <c r="N255" s="69">
        <f t="shared" si="54"/>
        <v>0</v>
      </c>
      <c r="O255" s="69">
        <f>O261+O256+O273</f>
        <v>127840</v>
      </c>
      <c r="P255" s="321"/>
    </row>
    <row r="256" spans="2:16" s="73" customFormat="1" ht="12.75" hidden="1">
      <c r="B256" s="34"/>
      <c r="C256" s="37">
        <v>85153</v>
      </c>
      <c r="D256" s="119"/>
      <c r="E256" s="140" t="s">
        <v>238</v>
      </c>
      <c r="F256" s="39">
        <f>SUM(F257:F260)</f>
        <v>10170</v>
      </c>
      <c r="G256" s="40">
        <f>SUM(G257:G260)</f>
        <v>0</v>
      </c>
      <c r="H256" s="40">
        <f aca="true" t="shared" si="55" ref="H256:N256">SUM(H257:H260)</f>
        <v>0</v>
      </c>
      <c r="I256" s="40">
        <f t="shared" si="55"/>
        <v>0</v>
      </c>
      <c r="J256" s="40">
        <f t="shared" si="55"/>
        <v>0</v>
      </c>
      <c r="K256" s="40">
        <f t="shared" si="55"/>
        <v>0</v>
      </c>
      <c r="L256" s="40">
        <f t="shared" si="55"/>
        <v>0</v>
      </c>
      <c r="M256" s="40">
        <f t="shared" si="55"/>
        <v>0</v>
      </c>
      <c r="N256" s="40">
        <f t="shared" si="55"/>
        <v>0</v>
      </c>
      <c r="O256" s="174">
        <f>SUM(O257:O260)</f>
        <v>10170</v>
      </c>
      <c r="P256" s="322"/>
    </row>
    <row r="257" spans="2:16" s="73" customFormat="1" ht="12.75" hidden="1">
      <c r="B257" s="34"/>
      <c r="C257" s="119"/>
      <c r="D257" s="28">
        <v>4210</v>
      </c>
      <c r="E257" s="29" t="s">
        <v>45</v>
      </c>
      <c r="F257" s="38">
        <v>1700</v>
      </c>
      <c r="G257" s="41"/>
      <c r="H257" s="41"/>
      <c r="I257" s="41"/>
      <c r="J257" s="41"/>
      <c r="K257" s="41"/>
      <c r="L257" s="41"/>
      <c r="M257" s="41"/>
      <c r="N257" s="41"/>
      <c r="O257" s="136">
        <f>F257+G257+H257+I257+J257+K257+L257+M257+N257</f>
        <v>1700</v>
      </c>
      <c r="P257" s="228"/>
    </row>
    <row r="258" spans="2:16" s="73" customFormat="1" ht="12.75" hidden="1">
      <c r="B258" s="34"/>
      <c r="C258" s="119"/>
      <c r="D258" s="28">
        <v>4300</v>
      </c>
      <c r="E258" s="29" t="s">
        <v>47</v>
      </c>
      <c r="F258" s="38">
        <v>8170</v>
      </c>
      <c r="G258" s="41"/>
      <c r="H258" s="41"/>
      <c r="I258" s="41"/>
      <c r="J258" s="41"/>
      <c r="K258" s="41"/>
      <c r="L258" s="41"/>
      <c r="M258" s="41"/>
      <c r="N258" s="41"/>
      <c r="O258" s="136">
        <f>F258+G258+H258+I258+J258+K258+L258+M258+N258</f>
        <v>8170</v>
      </c>
      <c r="P258" s="228"/>
    </row>
    <row r="259" spans="2:16" s="73" customFormat="1" ht="12.75" hidden="1">
      <c r="B259" s="34"/>
      <c r="C259" s="119"/>
      <c r="D259" s="28">
        <v>4410</v>
      </c>
      <c r="E259" s="29" t="s">
        <v>66</v>
      </c>
      <c r="F259" s="38">
        <v>200</v>
      </c>
      <c r="G259" s="41"/>
      <c r="H259" s="41"/>
      <c r="I259" s="41"/>
      <c r="J259" s="41"/>
      <c r="K259" s="41"/>
      <c r="L259" s="41"/>
      <c r="M259" s="41"/>
      <c r="N259" s="41"/>
      <c r="O259" s="136">
        <f>F259+G259+H259+I259+J259+K259+L259+M259+N259</f>
        <v>200</v>
      </c>
      <c r="P259" s="228"/>
    </row>
    <row r="260" spans="2:16" s="73" customFormat="1" ht="25.5" hidden="1">
      <c r="B260" s="34"/>
      <c r="C260" s="119"/>
      <c r="D260" s="28">
        <v>4740</v>
      </c>
      <c r="E260" s="29" t="s">
        <v>75</v>
      </c>
      <c r="F260" s="38">
        <v>100</v>
      </c>
      <c r="G260" s="41"/>
      <c r="H260" s="41"/>
      <c r="I260" s="41"/>
      <c r="J260" s="41"/>
      <c r="K260" s="41"/>
      <c r="L260" s="41"/>
      <c r="M260" s="41"/>
      <c r="N260" s="41"/>
      <c r="O260" s="136">
        <f>F260+G260+H260+I260+J260+K260+L260+M260+N260</f>
        <v>100</v>
      </c>
      <c r="P260" s="228"/>
    </row>
    <row r="261" spans="2:16" s="50" customFormat="1" ht="12.75" hidden="1">
      <c r="B261" s="25"/>
      <c r="C261" s="15">
        <v>85154</v>
      </c>
      <c r="D261" s="15"/>
      <c r="E261" s="18" t="s">
        <v>99</v>
      </c>
      <c r="F261" s="60">
        <f>SUM(F262:F272)</f>
        <v>109670</v>
      </c>
      <c r="G261" s="61">
        <f>SUM(G262:G272)</f>
        <v>0</v>
      </c>
      <c r="H261" s="61">
        <f aca="true" t="shared" si="56" ref="H261:N261">SUM(H262:H271)</f>
        <v>0</v>
      </c>
      <c r="I261" s="61">
        <f t="shared" si="56"/>
        <v>0</v>
      </c>
      <c r="J261" s="61">
        <f t="shared" si="56"/>
        <v>0</v>
      </c>
      <c r="K261" s="61">
        <f t="shared" si="56"/>
        <v>0</v>
      </c>
      <c r="L261" s="61">
        <f t="shared" si="56"/>
        <v>0</v>
      </c>
      <c r="M261" s="61">
        <f t="shared" si="56"/>
        <v>0</v>
      </c>
      <c r="N261" s="61">
        <f t="shared" si="56"/>
        <v>0</v>
      </c>
      <c r="O261" s="174">
        <f>SUM(O262:O272)</f>
        <v>109670</v>
      </c>
      <c r="P261" s="320"/>
    </row>
    <row r="262" spans="2:16" s="50" customFormat="1" ht="38.25" hidden="1">
      <c r="B262" s="25"/>
      <c r="C262" s="15"/>
      <c r="D262" s="28">
        <v>2820</v>
      </c>
      <c r="E262" s="29" t="s">
        <v>206</v>
      </c>
      <c r="F262" s="43">
        <v>4000</v>
      </c>
      <c r="G262" s="87"/>
      <c r="H262" s="87"/>
      <c r="I262" s="87"/>
      <c r="J262" s="87"/>
      <c r="K262" s="87"/>
      <c r="L262" s="87"/>
      <c r="M262" s="87"/>
      <c r="N262" s="87"/>
      <c r="O262" s="136">
        <f aca="true" t="shared" si="57" ref="O262:O271">F262+G262+H262+I262+J262+K262+L262+M262+N262</f>
        <v>4000</v>
      </c>
      <c r="P262" s="218"/>
    </row>
    <row r="263" spans="2:16" s="50" customFormat="1" ht="12.75" customHeight="1" hidden="1">
      <c r="B263" s="25"/>
      <c r="C263" s="15"/>
      <c r="D263" s="28">
        <v>4170</v>
      </c>
      <c r="E263" s="29" t="s">
        <v>69</v>
      </c>
      <c r="F263" s="43">
        <f>15000+3000</f>
        <v>18000</v>
      </c>
      <c r="G263" s="87"/>
      <c r="H263" s="87"/>
      <c r="I263" s="87"/>
      <c r="J263" s="87"/>
      <c r="K263" s="87"/>
      <c r="L263" s="87"/>
      <c r="M263" s="87"/>
      <c r="N263" s="87"/>
      <c r="O263" s="136">
        <f t="shared" si="57"/>
        <v>18000</v>
      </c>
      <c r="P263" s="218"/>
    </row>
    <row r="264" spans="2:16" s="50" customFormat="1" ht="12.75" hidden="1">
      <c r="B264" s="25"/>
      <c r="C264" s="28"/>
      <c r="D264" s="28">
        <v>4210</v>
      </c>
      <c r="E264" s="29" t="s">
        <v>45</v>
      </c>
      <c r="F264" s="43">
        <v>22800</v>
      </c>
      <c r="G264" s="87"/>
      <c r="H264" s="87"/>
      <c r="I264" s="87"/>
      <c r="J264" s="87"/>
      <c r="K264" s="87"/>
      <c r="L264" s="87"/>
      <c r="M264" s="87"/>
      <c r="N264" s="87"/>
      <c r="O264" s="136">
        <f t="shared" si="57"/>
        <v>22800</v>
      </c>
      <c r="P264" s="218"/>
    </row>
    <row r="265" spans="2:16" s="50" customFormat="1" ht="12.75" hidden="1">
      <c r="B265" s="25"/>
      <c r="C265" s="28"/>
      <c r="D265" s="28">
        <v>4260</v>
      </c>
      <c r="E265" s="29" t="s">
        <v>65</v>
      </c>
      <c r="F265" s="43">
        <v>3500</v>
      </c>
      <c r="G265" s="87"/>
      <c r="H265" s="87"/>
      <c r="I265" s="87"/>
      <c r="J265" s="87"/>
      <c r="K265" s="87"/>
      <c r="L265" s="87"/>
      <c r="M265" s="87"/>
      <c r="N265" s="87"/>
      <c r="O265" s="136">
        <f t="shared" si="57"/>
        <v>3500</v>
      </c>
      <c r="P265" s="218"/>
    </row>
    <row r="266" spans="2:16" s="50" customFormat="1" ht="12.75" hidden="1">
      <c r="B266" s="25"/>
      <c r="C266" s="28"/>
      <c r="D266" s="28">
        <v>4270</v>
      </c>
      <c r="E266" s="29" t="s">
        <v>46</v>
      </c>
      <c r="F266" s="43">
        <v>2000</v>
      </c>
      <c r="G266" s="87"/>
      <c r="H266" s="87"/>
      <c r="I266" s="87"/>
      <c r="J266" s="87"/>
      <c r="K266" s="87"/>
      <c r="L266" s="87"/>
      <c r="M266" s="87"/>
      <c r="N266" s="87"/>
      <c r="O266" s="136">
        <f t="shared" si="57"/>
        <v>2000</v>
      </c>
      <c r="P266" s="218"/>
    </row>
    <row r="267" spans="2:16" s="50" customFormat="1" ht="12.75" hidden="1">
      <c r="B267" s="25"/>
      <c r="C267" s="28"/>
      <c r="D267" s="28">
        <v>4300</v>
      </c>
      <c r="E267" s="29" t="s">
        <v>47</v>
      </c>
      <c r="F267" s="43">
        <v>34470</v>
      </c>
      <c r="G267" s="87"/>
      <c r="H267" s="87"/>
      <c r="I267" s="87"/>
      <c r="J267" s="87"/>
      <c r="K267" s="87"/>
      <c r="L267" s="87"/>
      <c r="M267" s="87"/>
      <c r="N267" s="87"/>
      <c r="O267" s="136">
        <f t="shared" si="57"/>
        <v>34470</v>
      </c>
      <c r="P267" s="228"/>
    </row>
    <row r="268" spans="2:16" s="50" customFormat="1" ht="25.5" hidden="1">
      <c r="B268" s="25"/>
      <c r="C268" s="28"/>
      <c r="D268" s="28">
        <v>4370</v>
      </c>
      <c r="E268" s="29" t="s">
        <v>73</v>
      </c>
      <c r="F268" s="43">
        <v>600</v>
      </c>
      <c r="G268" s="87"/>
      <c r="H268" s="87"/>
      <c r="I268" s="87"/>
      <c r="J268" s="87"/>
      <c r="K268" s="87"/>
      <c r="L268" s="87"/>
      <c r="M268" s="87"/>
      <c r="N268" s="87"/>
      <c r="O268" s="136">
        <f t="shared" si="57"/>
        <v>600</v>
      </c>
      <c r="P268" s="218"/>
    </row>
    <row r="269" spans="2:16" s="50" customFormat="1" ht="12.75" hidden="1">
      <c r="B269" s="25"/>
      <c r="C269" s="28"/>
      <c r="D269" s="28">
        <v>4410</v>
      </c>
      <c r="E269" s="29" t="s">
        <v>66</v>
      </c>
      <c r="F269" s="43">
        <v>300</v>
      </c>
      <c r="G269" s="87"/>
      <c r="H269" s="87"/>
      <c r="I269" s="87"/>
      <c r="J269" s="87"/>
      <c r="K269" s="87"/>
      <c r="L269" s="87"/>
      <c r="M269" s="87"/>
      <c r="N269" s="87"/>
      <c r="O269" s="136">
        <f t="shared" si="57"/>
        <v>300</v>
      </c>
      <c r="P269" s="218"/>
    </row>
    <row r="270" spans="2:16" s="50" customFormat="1" ht="12.75" hidden="1">
      <c r="B270" s="25"/>
      <c r="C270" s="28"/>
      <c r="D270" s="28">
        <v>4430</v>
      </c>
      <c r="E270" s="29" t="s">
        <v>52</v>
      </c>
      <c r="F270" s="43">
        <v>500</v>
      </c>
      <c r="G270" s="87"/>
      <c r="H270" s="87"/>
      <c r="I270" s="87"/>
      <c r="J270" s="87"/>
      <c r="K270" s="87"/>
      <c r="L270" s="87"/>
      <c r="M270" s="87"/>
      <c r="N270" s="87"/>
      <c r="O270" s="136">
        <f t="shared" si="57"/>
        <v>500</v>
      </c>
      <c r="P270" s="218"/>
    </row>
    <row r="271" spans="2:16" s="50" customFormat="1" ht="25.5" hidden="1">
      <c r="B271" s="25"/>
      <c r="C271" s="28"/>
      <c r="D271" s="28">
        <v>4740</v>
      </c>
      <c r="E271" s="29" t="s">
        <v>75</v>
      </c>
      <c r="F271" s="43">
        <v>200</v>
      </c>
      <c r="G271" s="87"/>
      <c r="H271" s="87"/>
      <c r="I271" s="87"/>
      <c r="J271" s="87"/>
      <c r="K271" s="87"/>
      <c r="L271" s="87"/>
      <c r="M271" s="87"/>
      <c r="N271" s="87"/>
      <c r="O271" s="136">
        <f t="shared" si="57"/>
        <v>200</v>
      </c>
      <c r="P271" s="218"/>
    </row>
    <row r="272" spans="2:16" s="50" customFormat="1" ht="25.5" hidden="1">
      <c r="B272" s="25"/>
      <c r="C272" s="15"/>
      <c r="D272" s="28">
        <v>6060</v>
      </c>
      <c r="E272" s="29" t="s">
        <v>61</v>
      </c>
      <c r="F272" s="43">
        <v>23300</v>
      </c>
      <c r="G272" s="87"/>
      <c r="H272" s="61"/>
      <c r="I272" s="61"/>
      <c r="J272" s="61"/>
      <c r="K272" s="61"/>
      <c r="L272" s="61"/>
      <c r="M272" s="61"/>
      <c r="N272" s="61"/>
      <c r="O272" s="136">
        <f>F272+G272+H272+I272+J272+K272+L272+M272+N272</f>
        <v>23300</v>
      </c>
      <c r="P272" s="228"/>
    </row>
    <row r="273" spans="2:16" s="50" customFormat="1" ht="12.75" hidden="1">
      <c r="B273" s="25"/>
      <c r="C273" s="15">
        <v>85195</v>
      </c>
      <c r="D273" s="15"/>
      <c r="E273" s="18" t="s">
        <v>40</v>
      </c>
      <c r="F273" s="60">
        <f>F274</f>
        <v>8000</v>
      </c>
      <c r="G273" s="61">
        <f>G274</f>
        <v>0</v>
      </c>
      <c r="H273" s="61"/>
      <c r="I273" s="61"/>
      <c r="J273" s="61"/>
      <c r="K273" s="61"/>
      <c r="L273" s="61"/>
      <c r="M273" s="61"/>
      <c r="N273" s="61"/>
      <c r="O273" s="174">
        <f>O274</f>
        <v>8000</v>
      </c>
      <c r="P273" s="228"/>
    </row>
    <row r="274" spans="2:16" s="50" customFormat="1" ht="12.75" hidden="1">
      <c r="B274" s="25"/>
      <c r="C274" s="15"/>
      <c r="D274" s="28">
        <v>6050</v>
      </c>
      <c r="E274" s="29" t="s">
        <v>50</v>
      </c>
      <c r="F274" s="43">
        <v>8000</v>
      </c>
      <c r="G274" s="87"/>
      <c r="H274" s="61"/>
      <c r="I274" s="61"/>
      <c r="J274" s="61"/>
      <c r="K274" s="61"/>
      <c r="L274" s="61"/>
      <c r="M274" s="61"/>
      <c r="N274" s="61"/>
      <c r="O274" s="136">
        <f>F274+G274+H274+I274+J274+K274+L274+M274+N274</f>
        <v>8000</v>
      </c>
      <c r="P274" s="218"/>
    </row>
    <row r="275" spans="2:16" s="50" customFormat="1" ht="12.75">
      <c r="B275" s="31">
        <v>852</v>
      </c>
      <c r="C275" s="42"/>
      <c r="D275" s="42"/>
      <c r="E275" s="33" t="s">
        <v>177</v>
      </c>
      <c r="F275" s="69">
        <f>F285+F287+F291+F293+F315+F319+F276</f>
        <v>2942750</v>
      </c>
      <c r="G275" s="309">
        <f>G285+G287+G291+G293+G315+G319+G276</f>
        <v>-18512</v>
      </c>
      <c r="H275" s="70">
        <f aca="true" t="shared" si="58" ref="H275:N275">H285+H287+H291+H293+H315+H319+H276</f>
        <v>0</v>
      </c>
      <c r="I275" s="70">
        <f t="shared" si="58"/>
        <v>0</v>
      </c>
      <c r="J275" s="70">
        <f t="shared" si="58"/>
        <v>0</v>
      </c>
      <c r="K275" s="70">
        <f t="shared" si="58"/>
        <v>0</v>
      </c>
      <c r="L275" s="70">
        <f t="shared" si="58"/>
        <v>0</v>
      </c>
      <c r="M275" s="70">
        <f t="shared" si="58"/>
        <v>0</v>
      </c>
      <c r="N275" s="70">
        <f t="shared" si="58"/>
        <v>0</v>
      </c>
      <c r="O275" s="69">
        <f>O285+O287+O291+O293+O315+O319+O276</f>
        <v>2924238</v>
      </c>
      <c r="P275" s="321"/>
    </row>
    <row r="276" spans="2:16" s="73" customFormat="1" ht="38.25">
      <c r="B276" s="34"/>
      <c r="C276" s="37">
        <v>85212</v>
      </c>
      <c r="D276" s="119"/>
      <c r="E276" s="18" t="s">
        <v>178</v>
      </c>
      <c r="F276" s="39">
        <f>SUM(F277:F284)</f>
        <v>1784600</v>
      </c>
      <c r="G276" s="40">
        <f>SUM(G277:G284)</f>
        <v>0</v>
      </c>
      <c r="H276" s="40">
        <f aca="true" t="shared" si="59" ref="H276:N276">SUM(H277:H282)</f>
        <v>0</v>
      </c>
      <c r="I276" s="40">
        <f t="shared" si="59"/>
        <v>0</v>
      </c>
      <c r="J276" s="40">
        <f t="shared" si="59"/>
        <v>0</v>
      </c>
      <c r="K276" s="40">
        <f t="shared" si="59"/>
        <v>0</v>
      </c>
      <c r="L276" s="40">
        <f t="shared" si="59"/>
        <v>0</v>
      </c>
      <c r="M276" s="40">
        <f t="shared" si="59"/>
        <v>0</v>
      </c>
      <c r="N276" s="40">
        <f t="shared" si="59"/>
        <v>0</v>
      </c>
      <c r="O276" s="174">
        <f>SUM(O277:O284)</f>
        <v>1784600</v>
      </c>
      <c r="P276" s="322"/>
    </row>
    <row r="277" spans="2:16" s="73" customFormat="1" ht="12.75">
      <c r="B277" s="34"/>
      <c r="C277" s="119"/>
      <c r="D277" s="28">
        <v>3110</v>
      </c>
      <c r="E277" s="29" t="s">
        <v>182</v>
      </c>
      <c r="F277" s="38">
        <v>1726697</v>
      </c>
      <c r="G277" s="41"/>
      <c r="H277" s="41"/>
      <c r="I277" s="41"/>
      <c r="J277" s="41"/>
      <c r="K277" s="41"/>
      <c r="L277" s="41"/>
      <c r="M277" s="41"/>
      <c r="N277" s="41"/>
      <c r="O277" s="136">
        <f aca="true" t="shared" si="60" ref="O277:O284">F277+G277+H277+I277+J277+K277+L277+M277+N277</f>
        <v>1726697</v>
      </c>
      <c r="P277" s="308"/>
    </row>
    <row r="278" spans="2:16" s="73" customFormat="1" ht="12.75">
      <c r="B278" s="34"/>
      <c r="C278" s="119"/>
      <c r="D278" s="28">
        <v>4010</v>
      </c>
      <c r="E278" s="29" t="s">
        <v>63</v>
      </c>
      <c r="F278" s="38">
        <v>34798</v>
      </c>
      <c r="G278" s="41"/>
      <c r="H278" s="41"/>
      <c r="I278" s="41"/>
      <c r="J278" s="41"/>
      <c r="K278" s="41"/>
      <c r="L278" s="41"/>
      <c r="M278" s="41"/>
      <c r="N278" s="41"/>
      <c r="O278" s="136">
        <f t="shared" si="60"/>
        <v>34798</v>
      </c>
      <c r="P278" s="308"/>
    </row>
    <row r="279" spans="2:16" s="73" customFormat="1" ht="12.75">
      <c r="B279" s="34"/>
      <c r="C279" s="119"/>
      <c r="D279" s="28">
        <v>4110</v>
      </c>
      <c r="E279" s="29" t="s">
        <v>64</v>
      </c>
      <c r="F279" s="38">
        <v>5255</v>
      </c>
      <c r="G279" s="41"/>
      <c r="H279" s="41"/>
      <c r="I279" s="41"/>
      <c r="J279" s="41"/>
      <c r="K279" s="41"/>
      <c r="L279" s="41"/>
      <c r="M279" s="41"/>
      <c r="N279" s="41"/>
      <c r="O279" s="136">
        <f t="shared" si="60"/>
        <v>5255</v>
      </c>
      <c r="P279" s="308"/>
    </row>
    <row r="280" spans="2:16" s="73" customFormat="1" ht="12.75">
      <c r="B280" s="34"/>
      <c r="C280" s="119"/>
      <c r="D280" s="28">
        <v>4210</v>
      </c>
      <c r="E280" s="29" t="s">
        <v>45</v>
      </c>
      <c r="F280" s="38">
        <v>1159</v>
      </c>
      <c r="G280" s="41">
        <v>1000</v>
      </c>
      <c r="H280" s="41"/>
      <c r="I280" s="41"/>
      <c r="J280" s="41"/>
      <c r="K280" s="41"/>
      <c r="L280" s="41"/>
      <c r="M280" s="41"/>
      <c r="N280" s="41"/>
      <c r="O280" s="136">
        <f t="shared" si="60"/>
        <v>2159</v>
      </c>
      <c r="P280" s="308"/>
    </row>
    <row r="281" spans="2:16" s="73" customFormat="1" ht="12.75">
      <c r="B281" s="34"/>
      <c r="C281" s="119"/>
      <c r="D281" s="28">
        <v>4300</v>
      </c>
      <c r="E281" s="29" t="s">
        <v>47</v>
      </c>
      <c r="F281" s="38">
        <v>10000</v>
      </c>
      <c r="G281" s="175">
        <v>-1500</v>
      </c>
      <c r="H281" s="41"/>
      <c r="I281" s="41"/>
      <c r="J281" s="41"/>
      <c r="K281" s="41"/>
      <c r="L281" s="41"/>
      <c r="M281" s="41"/>
      <c r="N281" s="41"/>
      <c r="O281" s="136">
        <f t="shared" si="60"/>
        <v>8500</v>
      </c>
      <c r="P281" s="308"/>
    </row>
    <row r="282" spans="2:16" s="73" customFormat="1" ht="12.75">
      <c r="B282" s="34"/>
      <c r="C282" s="119"/>
      <c r="D282" s="28">
        <v>4410</v>
      </c>
      <c r="E282" s="29" t="s">
        <v>66</v>
      </c>
      <c r="F282" s="38">
        <v>191</v>
      </c>
      <c r="G282" s="41"/>
      <c r="H282" s="41"/>
      <c r="I282" s="41"/>
      <c r="J282" s="41"/>
      <c r="K282" s="41"/>
      <c r="L282" s="41"/>
      <c r="M282" s="41"/>
      <c r="N282" s="41"/>
      <c r="O282" s="136">
        <f t="shared" si="60"/>
        <v>191</v>
      </c>
      <c r="P282" s="308"/>
    </row>
    <row r="283" spans="2:16" s="73" customFormat="1" ht="25.5">
      <c r="B283" s="34"/>
      <c r="C283" s="119"/>
      <c r="D283" s="28">
        <v>4700</v>
      </c>
      <c r="E283" s="29" t="s">
        <v>226</v>
      </c>
      <c r="F283" s="38">
        <v>2000</v>
      </c>
      <c r="G283" s="41">
        <v>500</v>
      </c>
      <c r="H283" s="41"/>
      <c r="I283" s="41"/>
      <c r="J283" s="41"/>
      <c r="K283" s="41"/>
      <c r="L283" s="41"/>
      <c r="M283" s="41"/>
      <c r="N283" s="41"/>
      <c r="O283" s="136">
        <f t="shared" si="60"/>
        <v>2500</v>
      </c>
      <c r="P283" s="308"/>
    </row>
    <row r="284" spans="2:16" s="73" customFormat="1" ht="25.5">
      <c r="B284" s="34"/>
      <c r="C284" s="119"/>
      <c r="D284" s="28">
        <v>6060</v>
      </c>
      <c r="E284" s="29" t="s">
        <v>61</v>
      </c>
      <c r="F284" s="38">
        <v>4500</v>
      </c>
      <c r="G284" s="41"/>
      <c r="H284" s="41"/>
      <c r="I284" s="41"/>
      <c r="J284" s="41"/>
      <c r="K284" s="41"/>
      <c r="L284" s="41"/>
      <c r="M284" s="41"/>
      <c r="N284" s="41"/>
      <c r="O284" s="136">
        <f t="shared" si="60"/>
        <v>4500</v>
      </c>
      <c r="P284" s="308"/>
    </row>
    <row r="285" spans="2:16" s="73" customFormat="1" ht="38.25">
      <c r="B285" s="34"/>
      <c r="C285" s="15">
        <v>85213</v>
      </c>
      <c r="D285" s="15"/>
      <c r="E285" s="18" t="s">
        <v>179</v>
      </c>
      <c r="F285" s="60">
        <f aca="true" t="shared" si="61" ref="F285:N285">F286</f>
        <v>9000</v>
      </c>
      <c r="G285" s="61">
        <f t="shared" si="61"/>
        <v>0</v>
      </c>
      <c r="H285" s="61">
        <f t="shared" si="61"/>
        <v>0</v>
      </c>
      <c r="I285" s="61">
        <f t="shared" si="61"/>
        <v>0</v>
      </c>
      <c r="J285" s="61">
        <f t="shared" si="61"/>
        <v>0</v>
      </c>
      <c r="K285" s="61">
        <f t="shared" si="61"/>
        <v>0</v>
      </c>
      <c r="L285" s="61">
        <f t="shared" si="61"/>
        <v>0</v>
      </c>
      <c r="M285" s="61">
        <f t="shared" si="61"/>
        <v>0</v>
      </c>
      <c r="N285" s="61">
        <f t="shared" si="61"/>
        <v>0</v>
      </c>
      <c r="O285" s="174">
        <f>O286</f>
        <v>9000</v>
      </c>
      <c r="P285" s="320"/>
    </row>
    <row r="286" spans="2:16" s="73" customFormat="1" ht="12.75">
      <c r="B286" s="34"/>
      <c r="C286" s="119"/>
      <c r="D286" s="28">
        <v>4130</v>
      </c>
      <c r="E286" s="29" t="s">
        <v>183</v>
      </c>
      <c r="F286" s="38">
        <v>9000</v>
      </c>
      <c r="G286" s="41"/>
      <c r="H286" s="41"/>
      <c r="I286" s="41"/>
      <c r="J286" s="41"/>
      <c r="K286" s="41"/>
      <c r="L286" s="41"/>
      <c r="M286" s="41"/>
      <c r="N286" s="41"/>
      <c r="O286" s="136">
        <f>F286+G286+H286+I286+J286+K286+L286+M286+N286</f>
        <v>9000</v>
      </c>
      <c r="P286" s="210"/>
    </row>
    <row r="287" spans="2:16" s="50" customFormat="1" ht="25.5">
      <c r="B287" s="25"/>
      <c r="C287" s="15">
        <v>85214</v>
      </c>
      <c r="D287" s="15"/>
      <c r="E287" s="18" t="s">
        <v>180</v>
      </c>
      <c r="F287" s="60">
        <f>SUM(F288:F290)</f>
        <v>348570</v>
      </c>
      <c r="G287" s="137">
        <f>SUM(G288:G290)</f>
        <v>-2240</v>
      </c>
      <c r="H287" s="61">
        <f aca="true" t="shared" si="62" ref="H287:N287">SUM(H288:H290)</f>
        <v>0</v>
      </c>
      <c r="I287" s="61">
        <f t="shared" si="62"/>
        <v>0</v>
      </c>
      <c r="J287" s="61">
        <f t="shared" si="62"/>
        <v>0</v>
      </c>
      <c r="K287" s="61">
        <f t="shared" si="62"/>
        <v>0</v>
      </c>
      <c r="L287" s="61">
        <f t="shared" si="62"/>
        <v>0</v>
      </c>
      <c r="M287" s="61">
        <f t="shared" si="62"/>
        <v>0</v>
      </c>
      <c r="N287" s="61">
        <f t="shared" si="62"/>
        <v>0</v>
      </c>
      <c r="O287" s="174">
        <f>SUM(O288:O290)</f>
        <v>346330</v>
      </c>
      <c r="P287" s="320"/>
    </row>
    <row r="288" spans="2:16" s="50" customFormat="1" ht="12.75">
      <c r="B288" s="25"/>
      <c r="C288" s="28"/>
      <c r="D288" s="28">
        <v>3110</v>
      </c>
      <c r="E288" s="29" t="s">
        <v>182</v>
      </c>
      <c r="F288" s="43">
        <v>245070</v>
      </c>
      <c r="G288" s="115">
        <v>-2240</v>
      </c>
      <c r="H288" s="87"/>
      <c r="I288" s="87"/>
      <c r="J288" s="87"/>
      <c r="K288" s="87"/>
      <c r="L288" s="87"/>
      <c r="M288" s="87"/>
      <c r="N288" s="87"/>
      <c r="O288" s="136">
        <f>F288+G288+H288+I288+J288+K288+L288+M288+N288</f>
        <v>242830</v>
      </c>
      <c r="P288" s="210" t="s">
        <v>378</v>
      </c>
    </row>
    <row r="289" spans="2:16" s="50" customFormat="1" ht="12.75">
      <c r="B289" s="25"/>
      <c r="C289" s="28"/>
      <c r="D289" s="28">
        <v>4110</v>
      </c>
      <c r="E289" s="29" t="s">
        <v>184</v>
      </c>
      <c r="F289" s="43">
        <v>3500</v>
      </c>
      <c r="G289" s="87"/>
      <c r="H289" s="87"/>
      <c r="I289" s="87"/>
      <c r="J289" s="87"/>
      <c r="K289" s="87"/>
      <c r="L289" s="87"/>
      <c r="M289" s="87"/>
      <c r="N289" s="87"/>
      <c r="O289" s="136">
        <f>F289+G289+H289+I289+J289+K289+L289+M289+N289</f>
        <v>3500</v>
      </c>
      <c r="P289" s="218"/>
    </row>
    <row r="290" spans="2:16" s="50" customFormat="1" ht="38.25">
      <c r="B290" s="25"/>
      <c r="C290" s="28"/>
      <c r="D290" s="28">
        <v>4330</v>
      </c>
      <c r="E290" s="29" t="s">
        <v>185</v>
      </c>
      <c r="F290" s="43">
        <v>100000</v>
      </c>
      <c r="G290" s="87"/>
      <c r="H290" s="87"/>
      <c r="I290" s="87"/>
      <c r="J290" s="87"/>
      <c r="K290" s="87"/>
      <c r="L290" s="87"/>
      <c r="M290" s="87"/>
      <c r="N290" s="87"/>
      <c r="O290" s="136">
        <f>F290+G290+H290+I290+J290+K290+L290+M290+N290</f>
        <v>100000</v>
      </c>
      <c r="P290" s="218"/>
    </row>
    <row r="291" spans="2:16" s="50" customFormat="1" ht="12.75">
      <c r="B291" s="25"/>
      <c r="C291" s="15">
        <v>85215</v>
      </c>
      <c r="D291" s="15"/>
      <c r="E291" s="18" t="s">
        <v>186</v>
      </c>
      <c r="F291" s="60">
        <f aca="true" t="shared" si="63" ref="F291:N291">SUM(F292)</f>
        <v>190000</v>
      </c>
      <c r="G291" s="61">
        <f t="shared" si="63"/>
        <v>0</v>
      </c>
      <c r="H291" s="61">
        <f t="shared" si="63"/>
        <v>0</v>
      </c>
      <c r="I291" s="61">
        <f t="shared" si="63"/>
        <v>0</v>
      </c>
      <c r="J291" s="61">
        <f t="shared" si="63"/>
        <v>0</v>
      </c>
      <c r="K291" s="61">
        <f t="shared" si="63"/>
        <v>0</v>
      </c>
      <c r="L291" s="61">
        <f t="shared" si="63"/>
        <v>0</v>
      </c>
      <c r="M291" s="61">
        <f t="shared" si="63"/>
        <v>0</v>
      </c>
      <c r="N291" s="61">
        <f t="shared" si="63"/>
        <v>0</v>
      </c>
      <c r="O291" s="174">
        <f>SUM(O292)</f>
        <v>190000</v>
      </c>
      <c r="P291" s="320"/>
    </row>
    <row r="292" spans="2:16" s="50" customFormat="1" ht="12.75">
      <c r="B292" s="25"/>
      <c r="C292" s="28"/>
      <c r="D292" s="28">
        <v>3110</v>
      </c>
      <c r="E292" s="29" t="s">
        <v>182</v>
      </c>
      <c r="F292" s="43">
        <v>190000</v>
      </c>
      <c r="G292" s="87"/>
      <c r="H292" s="87"/>
      <c r="I292" s="87"/>
      <c r="J292" s="87"/>
      <c r="K292" s="87"/>
      <c r="L292" s="87"/>
      <c r="M292" s="87"/>
      <c r="N292" s="87"/>
      <c r="O292" s="136">
        <f>F292+G292+H292+I292+J292+K292+L292+M292+N292</f>
        <v>190000</v>
      </c>
      <c r="P292" s="218"/>
    </row>
    <row r="293" spans="2:16" s="50" customFormat="1" ht="15.75" customHeight="1">
      <c r="B293" s="25"/>
      <c r="C293" s="15">
        <v>85219</v>
      </c>
      <c r="D293" s="15"/>
      <c r="E293" s="18" t="s">
        <v>181</v>
      </c>
      <c r="F293" s="60">
        <f>SUM(F294:F314)</f>
        <v>518280</v>
      </c>
      <c r="G293" s="137">
        <f>SUM(G294:G314)</f>
        <v>-16272</v>
      </c>
      <c r="H293" s="61">
        <f aca="true" t="shared" si="64" ref="H293:N293">SUM(H294:H314)</f>
        <v>0</v>
      </c>
      <c r="I293" s="61">
        <f t="shared" si="64"/>
        <v>0</v>
      </c>
      <c r="J293" s="61">
        <f t="shared" si="64"/>
        <v>0</v>
      </c>
      <c r="K293" s="61">
        <f t="shared" si="64"/>
        <v>0</v>
      </c>
      <c r="L293" s="61">
        <f t="shared" si="64"/>
        <v>0</v>
      </c>
      <c r="M293" s="61">
        <f t="shared" si="64"/>
        <v>0</v>
      </c>
      <c r="N293" s="61">
        <f t="shared" si="64"/>
        <v>0</v>
      </c>
      <c r="O293" s="174">
        <f>SUM(O294:O314)</f>
        <v>502008</v>
      </c>
      <c r="P293" s="320"/>
    </row>
    <row r="294" spans="2:16" s="50" customFormat="1" ht="25.5">
      <c r="B294" s="25"/>
      <c r="C294" s="28"/>
      <c r="D294" s="28">
        <v>3020</v>
      </c>
      <c r="E294" s="29" t="s">
        <v>67</v>
      </c>
      <c r="F294" s="43">
        <v>6000</v>
      </c>
      <c r="G294" s="87"/>
      <c r="H294" s="87"/>
      <c r="I294" s="87"/>
      <c r="J294" s="87"/>
      <c r="K294" s="87"/>
      <c r="L294" s="87"/>
      <c r="M294" s="87"/>
      <c r="N294" s="87"/>
      <c r="O294" s="136">
        <f aca="true" t="shared" si="65" ref="O294:O314">F294+G294+H294+I294+J294+K294+L294+M294+N294</f>
        <v>6000</v>
      </c>
      <c r="P294" s="218"/>
    </row>
    <row r="295" spans="2:16" s="50" customFormat="1" ht="12.75">
      <c r="B295" s="25"/>
      <c r="C295" s="28"/>
      <c r="D295" s="28">
        <v>4010</v>
      </c>
      <c r="E295" s="29" t="s">
        <v>63</v>
      </c>
      <c r="F295" s="43">
        <v>334780</v>
      </c>
      <c r="G295" s="115">
        <f>-1250-27530</f>
        <v>-28780</v>
      </c>
      <c r="H295" s="87"/>
      <c r="I295" s="87"/>
      <c r="J295" s="87"/>
      <c r="K295" s="87"/>
      <c r="L295" s="87"/>
      <c r="M295" s="87"/>
      <c r="N295" s="87"/>
      <c r="O295" s="136">
        <f t="shared" si="65"/>
        <v>306000</v>
      </c>
      <c r="P295" s="207" t="s">
        <v>379</v>
      </c>
    </row>
    <row r="296" spans="2:16" s="50" customFormat="1" ht="12.75">
      <c r="B296" s="25"/>
      <c r="C296" s="28"/>
      <c r="D296" s="28">
        <v>4040</v>
      </c>
      <c r="E296" s="29" t="s">
        <v>68</v>
      </c>
      <c r="F296" s="43">
        <v>19485</v>
      </c>
      <c r="G296" s="87"/>
      <c r="H296" s="87"/>
      <c r="I296" s="87"/>
      <c r="J296" s="87"/>
      <c r="K296" s="87"/>
      <c r="L296" s="87"/>
      <c r="M296" s="87"/>
      <c r="N296" s="87"/>
      <c r="O296" s="136">
        <f t="shared" si="65"/>
        <v>19485</v>
      </c>
      <c r="P296" s="218"/>
    </row>
    <row r="297" spans="2:16" s="50" customFormat="1" ht="12.75">
      <c r="B297" s="25"/>
      <c r="C297" s="28"/>
      <c r="D297" s="28">
        <v>4110</v>
      </c>
      <c r="E297" s="29" t="s">
        <v>64</v>
      </c>
      <c r="F297" s="43">
        <v>50900</v>
      </c>
      <c r="G297" s="87"/>
      <c r="H297" s="87"/>
      <c r="I297" s="87"/>
      <c r="J297" s="87"/>
      <c r="K297" s="87"/>
      <c r="L297" s="87"/>
      <c r="M297" s="87"/>
      <c r="N297" s="87"/>
      <c r="O297" s="136">
        <f t="shared" si="65"/>
        <v>50900</v>
      </c>
      <c r="P297" s="218"/>
    </row>
    <row r="298" spans="2:16" s="50" customFormat="1" ht="12.75">
      <c r="B298" s="25"/>
      <c r="C298" s="28"/>
      <c r="D298" s="28">
        <v>4120</v>
      </c>
      <c r="E298" s="29" t="s">
        <v>187</v>
      </c>
      <c r="F298" s="43">
        <v>7700</v>
      </c>
      <c r="G298" s="87"/>
      <c r="H298" s="87"/>
      <c r="I298" s="87"/>
      <c r="J298" s="87"/>
      <c r="K298" s="87"/>
      <c r="L298" s="87"/>
      <c r="M298" s="87"/>
      <c r="N298" s="87"/>
      <c r="O298" s="136">
        <f t="shared" si="65"/>
        <v>7700</v>
      </c>
      <c r="P298" s="218"/>
    </row>
    <row r="299" spans="2:16" s="50" customFormat="1" ht="12.75">
      <c r="B299" s="25"/>
      <c r="C299" s="28"/>
      <c r="D299" s="28">
        <v>4170</v>
      </c>
      <c r="E299" s="29" t="s">
        <v>69</v>
      </c>
      <c r="F299" s="43">
        <v>9000</v>
      </c>
      <c r="G299" s="87"/>
      <c r="H299" s="87"/>
      <c r="I299" s="87"/>
      <c r="J299" s="87"/>
      <c r="K299" s="87"/>
      <c r="L299" s="87"/>
      <c r="M299" s="87"/>
      <c r="N299" s="87"/>
      <c r="O299" s="136">
        <f t="shared" si="65"/>
        <v>9000</v>
      </c>
      <c r="P299" s="218"/>
    </row>
    <row r="300" spans="2:16" s="50" customFormat="1" ht="22.5">
      <c r="B300" s="25"/>
      <c r="C300" s="28"/>
      <c r="D300" s="28">
        <v>4210</v>
      </c>
      <c r="E300" s="29" t="s">
        <v>45</v>
      </c>
      <c r="F300" s="43">
        <v>11000</v>
      </c>
      <c r="G300" s="87">
        <v>6508</v>
      </c>
      <c r="H300" s="87"/>
      <c r="I300" s="87"/>
      <c r="J300" s="87"/>
      <c r="K300" s="87"/>
      <c r="L300" s="87"/>
      <c r="M300" s="87"/>
      <c r="N300" s="87"/>
      <c r="O300" s="136">
        <f t="shared" si="65"/>
        <v>17508</v>
      </c>
      <c r="P300" s="295" t="s">
        <v>380</v>
      </c>
    </row>
    <row r="301" spans="2:16" s="50" customFormat="1" ht="15.75" customHeight="1">
      <c r="B301" s="25"/>
      <c r="C301" s="28"/>
      <c r="D301" s="28">
        <v>4260</v>
      </c>
      <c r="E301" s="29" t="s">
        <v>65</v>
      </c>
      <c r="F301" s="43">
        <v>9600</v>
      </c>
      <c r="G301" s="87"/>
      <c r="H301" s="87"/>
      <c r="I301" s="87"/>
      <c r="J301" s="87"/>
      <c r="K301" s="87"/>
      <c r="L301" s="87"/>
      <c r="M301" s="87"/>
      <c r="N301" s="87"/>
      <c r="O301" s="136">
        <f t="shared" si="65"/>
        <v>9600</v>
      </c>
      <c r="P301" s="218"/>
    </row>
    <row r="302" spans="2:16" s="50" customFormat="1" ht="16.5" customHeight="1">
      <c r="B302" s="25"/>
      <c r="C302" s="28"/>
      <c r="D302" s="28">
        <v>4270</v>
      </c>
      <c r="E302" s="29" t="s">
        <v>77</v>
      </c>
      <c r="F302" s="43">
        <v>5000</v>
      </c>
      <c r="G302" s="87">
        <v>3000</v>
      </c>
      <c r="H302" s="87"/>
      <c r="I302" s="87"/>
      <c r="J302" s="87"/>
      <c r="K302" s="87"/>
      <c r="L302" s="87"/>
      <c r="M302" s="87"/>
      <c r="N302" s="87"/>
      <c r="O302" s="136">
        <f t="shared" si="65"/>
        <v>8000</v>
      </c>
      <c r="P302" s="218"/>
    </row>
    <row r="303" spans="2:16" s="50" customFormat="1" ht="15.75" customHeight="1">
      <c r="B303" s="25"/>
      <c r="C303" s="28"/>
      <c r="D303" s="28">
        <v>4280</v>
      </c>
      <c r="E303" s="29" t="s">
        <v>70</v>
      </c>
      <c r="F303" s="43">
        <v>1000</v>
      </c>
      <c r="G303" s="87"/>
      <c r="H303" s="87"/>
      <c r="I303" s="87"/>
      <c r="J303" s="87"/>
      <c r="K303" s="87"/>
      <c r="L303" s="87"/>
      <c r="M303" s="87"/>
      <c r="N303" s="87"/>
      <c r="O303" s="136">
        <f t="shared" si="65"/>
        <v>1000</v>
      </c>
      <c r="P303" s="218"/>
    </row>
    <row r="304" spans="2:16" s="50" customFormat="1" ht="12.75">
      <c r="B304" s="25"/>
      <c r="C304" s="28"/>
      <c r="D304" s="28">
        <v>4300</v>
      </c>
      <c r="E304" s="29" t="s">
        <v>47</v>
      </c>
      <c r="F304" s="43">
        <v>10000</v>
      </c>
      <c r="G304" s="87"/>
      <c r="H304" s="87"/>
      <c r="I304" s="87"/>
      <c r="J304" s="87"/>
      <c r="K304" s="87"/>
      <c r="L304" s="87"/>
      <c r="M304" s="87"/>
      <c r="N304" s="87"/>
      <c r="O304" s="136">
        <f t="shared" si="65"/>
        <v>10000</v>
      </c>
      <c r="P304" s="218"/>
    </row>
    <row r="305" spans="2:16" s="50" customFormat="1" ht="12.75">
      <c r="B305" s="25"/>
      <c r="C305" s="28"/>
      <c r="D305" s="28">
        <v>4350</v>
      </c>
      <c r="E305" s="29" t="s">
        <v>71</v>
      </c>
      <c r="F305" s="43">
        <v>1000</v>
      </c>
      <c r="G305" s="87"/>
      <c r="H305" s="87"/>
      <c r="I305" s="87"/>
      <c r="J305" s="87"/>
      <c r="K305" s="87"/>
      <c r="L305" s="87"/>
      <c r="M305" s="87"/>
      <c r="N305" s="87"/>
      <c r="O305" s="136">
        <f t="shared" si="65"/>
        <v>1000</v>
      </c>
      <c r="P305" s="218"/>
    </row>
    <row r="306" spans="2:16" s="50" customFormat="1" ht="25.5">
      <c r="B306" s="25"/>
      <c r="C306" s="28"/>
      <c r="D306" s="28">
        <v>4370</v>
      </c>
      <c r="E306" s="29" t="s">
        <v>73</v>
      </c>
      <c r="F306" s="43">
        <v>8215</v>
      </c>
      <c r="G306" s="87"/>
      <c r="H306" s="87"/>
      <c r="I306" s="87"/>
      <c r="J306" s="87"/>
      <c r="K306" s="87"/>
      <c r="L306" s="87"/>
      <c r="M306" s="87"/>
      <c r="N306" s="87"/>
      <c r="O306" s="136">
        <f t="shared" si="65"/>
        <v>8215</v>
      </c>
      <c r="P306" s="218"/>
    </row>
    <row r="307" spans="2:16" s="50" customFormat="1" ht="25.5">
      <c r="B307" s="25"/>
      <c r="C307" s="28"/>
      <c r="D307" s="28">
        <v>4400</v>
      </c>
      <c r="E307" s="29" t="s">
        <v>239</v>
      </c>
      <c r="F307" s="43">
        <v>9600</v>
      </c>
      <c r="G307" s="87"/>
      <c r="H307" s="87"/>
      <c r="I307" s="87"/>
      <c r="J307" s="87"/>
      <c r="K307" s="87"/>
      <c r="L307" s="87"/>
      <c r="M307" s="87"/>
      <c r="N307" s="87"/>
      <c r="O307" s="136">
        <f t="shared" si="65"/>
        <v>9600</v>
      </c>
      <c r="P307" s="218"/>
    </row>
    <row r="308" spans="2:16" s="50" customFormat="1" ht="15.75" customHeight="1">
      <c r="B308" s="25"/>
      <c r="C308" s="28"/>
      <c r="D308" s="28">
        <v>4410</v>
      </c>
      <c r="E308" s="29" t="s">
        <v>66</v>
      </c>
      <c r="F308" s="43">
        <v>10000</v>
      </c>
      <c r="G308" s="87">
        <v>1000</v>
      </c>
      <c r="H308" s="87"/>
      <c r="I308" s="87"/>
      <c r="J308" s="87"/>
      <c r="K308" s="87"/>
      <c r="L308" s="87"/>
      <c r="M308" s="87"/>
      <c r="N308" s="87"/>
      <c r="O308" s="136">
        <f t="shared" si="65"/>
        <v>11000</v>
      </c>
      <c r="P308" s="218"/>
    </row>
    <row r="309" spans="2:16" s="50" customFormat="1" ht="15.75" customHeight="1">
      <c r="B309" s="25"/>
      <c r="C309" s="28"/>
      <c r="D309" s="28">
        <v>4430</v>
      </c>
      <c r="E309" s="29" t="s">
        <v>52</v>
      </c>
      <c r="F309" s="43">
        <v>1000</v>
      </c>
      <c r="G309" s="87"/>
      <c r="H309" s="87"/>
      <c r="I309" s="87"/>
      <c r="J309" s="87"/>
      <c r="K309" s="87"/>
      <c r="L309" s="87"/>
      <c r="M309" s="87"/>
      <c r="N309" s="87"/>
      <c r="O309" s="136">
        <f t="shared" si="65"/>
        <v>1000</v>
      </c>
      <c r="P309" s="218"/>
    </row>
    <row r="310" spans="2:16" s="50" customFormat="1" ht="25.5">
      <c r="B310" s="25"/>
      <c r="C310" s="28"/>
      <c r="D310" s="28">
        <v>4440</v>
      </c>
      <c r="E310" s="29" t="s">
        <v>74</v>
      </c>
      <c r="F310" s="43">
        <v>9822</v>
      </c>
      <c r="G310" s="87"/>
      <c r="H310" s="87"/>
      <c r="I310" s="87"/>
      <c r="J310" s="87"/>
      <c r="K310" s="87"/>
      <c r="L310" s="87"/>
      <c r="M310" s="87"/>
      <c r="N310" s="87"/>
      <c r="O310" s="136">
        <f t="shared" si="65"/>
        <v>9822</v>
      </c>
      <c r="P310" s="218"/>
    </row>
    <row r="311" spans="2:16" s="50" customFormat="1" ht="25.5">
      <c r="B311" s="25"/>
      <c r="C311" s="28"/>
      <c r="D311" s="28">
        <v>4700</v>
      </c>
      <c r="E311" s="29" t="s">
        <v>226</v>
      </c>
      <c r="F311" s="43">
        <v>4000</v>
      </c>
      <c r="G311" s="87"/>
      <c r="H311" s="87"/>
      <c r="I311" s="87"/>
      <c r="J311" s="87"/>
      <c r="K311" s="87"/>
      <c r="L311" s="87"/>
      <c r="M311" s="87"/>
      <c r="N311" s="87"/>
      <c r="O311" s="136">
        <f t="shared" si="65"/>
        <v>4000</v>
      </c>
      <c r="P311" s="218"/>
    </row>
    <row r="312" spans="2:16" s="50" customFormat="1" ht="25.5">
      <c r="B312" s="25"/>
      <c r="C312" s="28"/>
      <c r="D312" s="28">
        <v>4740</v>
      </c>
      <c r="E312" s="29" t="s">
        <v>75</v>
      </c>
      <c r="F312" s="43">
        <v>3000</v>
      </c>
      <c r="G312" s="87"/>
      <c r="H312" s="87"/>
      <c r="I312" s="87"/>
      <c r="J312" s="87"/>
      <c r="K312" s="87"/>
      <c r="L312" s="87"/>
      <c r="M312" s="87"/>
      <c r="N312" s="87"/>
      <c r="O312" s="136">
        <f t="shared" si="65"/>
        <v>3000</v>
      </c>
      <c r="P312" s="218"/>
    </row>
    <row r="313" spans="2:16" s="50" customFormat="1" ht="25.5">
      <c r="B313" s="25"/>
      <c r="C313" s="28"/>
      <c r="D313" s="28">
        <v>4750</v>
      </c>
      <c r="E313" s="29" t="s">
        <v>76</v>
      </c>
      <c r="F313" s="43">
        <v>7178</v>
      </c>
      <c r="G313" s="87">
        <v>2000</v>
      </c>
      <c r="H313" s="87"/>
      <c r="I313" s="87"/>
      <c r="J313" s="87"/>
      <c r="K313" s="87"/>
      <c r="L313" s="87"/>
      <c r="M313" s="87"/>
      <c r="N313" s="87"/>
      <c r="O313" s="136">
        <f t="shared" si="65"/>
        <v>9178</v>
      </c>
      <c r="P313" s="218"/>
    </row>
    <row r="314" spans="2:16" s="50" customFormat="1" ht="26.25" customHeight="1" hidden="1">
      <c r="B314" s="25"/>
      <c r="C314" s="28"/>
      <c r="D314" s="28">
        <v>6060</v>
      </c>
      <c r="E314" s="29" t="s">
        <v>61</v>
      </c>
      <c r="F314" s="43"/>
      <c r="G314" s="87"/>
      <c r="H314" s="87"/>
      <c r="I314" s="87"/>
      <c r="J314" s="87"/>
      <c r="K314" s="87"/>
      <c r="L314" s="87"/>
      <c r="M314" s="87"/>
      <c r="N314" s="87"/>
      <c r="O314" s="136">
        <f t="shared" si="65"/>
        <v>0</v>
      </c>
      <c r="P314" s="218"/>
    </row>
    <row r="315" spans="2:16" s="50" customFormat="1" ht="25.5">
      <c r="B315" s="25"/>
      <c r="C315" s="15">
        <v>85228</v>
      </c>
      <c r="D315" s="15"/>
      <c r="E315" s="18" t="s">
        <v>188</v>
      </c>
      <c r="F315" s="60">
        <f>SUM(F316:F318)</f>
        <v>10900</v>
      </c>
      <c r="G315" s="61">
        <f aca="true" t="shared" si="66" ref="G315:O315">SUM(G316:G318)</f>
        <v>0</v>
      </c>
      <c r="H315" s="60">
        <f t="shared" si="66"/>
        <v>0</v>
      </c>
      <c r="I315" s="60">
        <f t="shared" si="66"/>
        <v>0</v>
      </c>
      <c r="J315" s="60">
        <f t="shared" si="66"/>
        <v>0</v>
      </c>
      <c r="K315" s="60">
        <f t="shared" si="66"/>
        <v>0</v>
      </c>
      <c r="L315" s="60">
        <f t="shared" si="66"/>
        <v>0</v>
      </c>
      <c r="M315" s="60">
        <f t="shared" si="66"/>
        <v>0</v>
      </c>
      <c r="N315" s="60">
        <f t="shared" si="66"/>
        <v>0</v>
      </c>
      <c r="O315" s="174">
        <f t="shared" si="66"/>
        <v>10900</v>
      </c>
      <c r="P315" s="320"/>
    </row>
    <row r="316" spans="2:16" s="50" customFormat="1" ht="19.5" customHeight="1">
      <c r="B316" s="25"/>
      <c r="C316" s="28"/>
      <c r="D316" s="28">
        <v>4170</v>
      </c>
      <c r="E316" s="29" t="s">
        <v>69</v>
      </c>
      <c r="F316" s="43">
        <v>9200</v>
      </c>
      <c r="G316" s="87"/>
      <c r="H316" s="87"/>
      <c r="I316" s="87"/>
      <c r="J316" s="87"/>
      <c r="K316" s="87"/>
      <c r="L316" s="87"/>
      <c r="M316" s="87"/>
      <c r="N316" s="87"/>
      <c r="O316" s="136">
        <f>F316+G316+H316+I316+J316+K316+L316+M316+N316</f>
        <v>9200</v>
      </c>
      <c r="P316" s="218"/>
    </row>
    <row r="317" spans="2:16" s="50" customFormat="1" ht="19.5" customHeight="1">
      <c r="B317" s="25"/>
      <c r="C317" s="28"/>
      <c r="D317" s="28">
        <v>4110</v>
      </c>
      <c r="E317" s="29" t="s">
        <v>64</v>
      </c>
      <c r="F317" s="43">
        <v>1500</v>
      </c>
      <c r="G317" s="87"/>
      <c r="H317" s="87"/>
      <c r="I317" s="87"/>
      <c r="J317" s="87"/>
      <c r="K317" s="87"/>
      <c r="L317" s="87"/>
      <c r="M317" s="87"/>
      <c r="N317" s="87"/>
      <c r="O317" s="136">
        <f>F317+G317+H317+I317+J317+K317+L317+M317+N317</f>
        <v>1500</v>
      </c>
      <c r="P317" s="218"/>
    </row>
    <row r="318" spans="2:16" s="50" customFormat="1" ht="19.5" customHeight="1">
      <c r="B318" s="25"/>
      <c r="C318" s="28"/>
      <c r="D318" s="28">
        <v>4120</v>
      </c>
      <c r="E318" s="29" t="s">
        <v>187</v>
      </c>
      <c r="F318" s="43">
        <v>200</v>
      </c>
      <c r="G318" s="87"/>
      <c r="H318" s="87"/>
      <c r="I318" s="87"/>
      <c r="J318" s="87"/>
      <c r="K318" s="87"/>
      <c r="L318" s="87"/>
      <c r="M318" s="87"/>
      <c r="N318" s="87"/>
      <c r="O318" s="136">
        <f>F318+G318+H318+I318+J318+K318+L318+M318+N318</f>
        <v>200</v>
      </c>
      <c r="P318" s="218"/>
    </row>
    <row r="319" spans="2:16" s="50" customFormat="1" ht="15" customHeight="1">
      <c r="B319" s="25"/>
      <c r="C319" s="15">
        <v>85295</v>
      </c>
      <c r="D319" s="15"/>
      <c r="E319" s="18" t="s">
        <v>40</v>
      </c>
      <c r="F319" s="60">
        <f>SUM(F320:F322)</f>
        <v>81400</v>
      </c>
      <c r="G319" s="61">
        <f>SUM(G320:G322)</f>
        <v>0</v>
      </c>
      <c r="H319" s="61">
        <f aca="true" t="shared" si="67" ref="H319:N319">SUM(H320:H322)</f>
        <v>0</v>
      </c>
      <c r="I319" s="61">
        <f t="shared" si="67"/>
        <v>0</v>
      </c>
      <c r="J319" s="61">
        <f t="shared" si="67"/>
        <v>0</v>
      </c>
      <c r="K319" s="61">
        <f t="shared" si="67"/>
        <v>0</v>
      </c>
      <c r="L319" s="61">
        <f t="shared" si="67"/>
        <v>0</v>
      </c>
      <c r="M319" s="61">
        <f t="shared" si="67"/>
        <v>0</v>
      </c>
      <c r="N319" s="61">
        <f t="shared" si="67"/>
        <v>0</v>
      </c>
      <c r="O319" s="174">
        <f>SUM(O320:O322)</f>
        <v>81400</v>
      </c>
      <c r="P319" s="320"/>
    </row>
    <row r="320" spans="2:16" s="50" customFormat="1" ht="12.75">
      <c r="B320" s="25"/>
      <c r="C320" s="15"/>
      <c r="D320" s="28">
        <v>3110</v>
      </c>
      <c r="E320" s="29" t="s">
        <v>182</v>
      </c>
      <c r="F320" s="66">
        <v>74400</v>
      </c>
      <c r="G320" s="68"/>
      <c r="H320" s="68"/>
      <c r="I320" s="68"/>
      <c r="J320" s="68"/>
      <c r="K320" s="68"/>
      <c r="L320" s="68"/>
      <c r="M320" s="68"/>
      <c r="N320" s="68"/>
      <c r="O320" s="136">
        <f>F320+G320+H320+I320+J320+K320+L320+M320+N320</f>
        <v>74400</v>
      </c>
      <c r="P320" s="207"/>
    </row>
    <row r="321" spans="2:16" s="50" customFormat="1" ht="12.75">
      <c r="B321" s="25"/>
      <c r="C321" s="15"/>
      <c r="D321" s="28">
        <v>4210</v>
      </c>
      <c r="E321" s="29" t="s">
        <v>45</v>
      </c>
      <c r="F321" s="66">
        <v>5000</v>
      </c>
      <c r="G321" s="68"/>
      <c r="H321" s="68"/>
      <c r="I321" s="68"/>
      <c r="J321" s="68"/>
      <c r="K321" s="68"/>
      <c r="L321" s="68"/>
      <c r="M321" s="68"/>
      <c r="N321" s="68"/>
      <c r="O321" s="136">
        <f>F321+G321+H321+I321+J321+K321+L321+M321+N321</f>
        <v>5000</v>
      </c>
      <c r="P321" s="218"/>
    </row>
    <row r="322" spans="2:16" s="50" customFormat="1" ht="15" customHeight="1">
      <c r="B322" s="25"/>
      <c r="C322" s="15"/>
      <c r="D322" s="28">
        <v>4300</v>
      </c>
      <c r="E322" s="29" t="s">
        <v>47</v>
      </c>
      <c r="F322" s="66">
        <v>2000</v>
      </c>
      <c r="G322" s="68"/>
      <c r="H322" s="68"/>
      <c r="I322" s="68"/>
      <c r="J322" s="68"/>
      <c r="K322" s="68"/>
      <c r="L322" s="68"/>
      <c r="M322" s="68"/>
      <c r="N322" s="68"/>
      <c r="O322" s="136">
        <f>F322+G322+H322+I322+J322+K322+L322+M322+N322</f>
        <v>2000</v>
      </c>
      <c r="P322" s="218"/>
    </row>
    <row r="323" spans="2:16" s="50" customFormat="1" ht="12.75">
      <c r="B323" s="31">
        <v>854</v>
      </c>
      <c r="C323" s="32"/>
      <c r="D323" s="32"/>
      <c r="E323" s="33" t="s">
        <v>190</v>
      </c>
      <c r="F323" s="69">
        <f>F324</f>
        <v>46579</v>
      </c>
      <c r="G323" s="70">
        <f>G324</f>
        <v>44520</v>
      </c>
      <c r="H323" s="70">
        <f aca="true" t="shared" si="68" ref="H323:N324">H324</f>
        <v>0</v>
      </c>
      <c r="I323" s="70">
        <f t="shared" si="68"/>
        <v>0</v>
      </c>
      <c r="J323" s="70">
        <f t="shared" si="68"/>
        <v>0</v>
      </c>
      <c r="K323" s="70">
        <f t="shared" si="68"/>
        <v>0</v>
      </c>
      <c r="L323" s="70">
        <f t="shared" si="68"/>
        <v>0</v>
      </c>
      <c r="M323" s="70">
        <f t="shared" si="68"/>
        <v>0</v>
      </c>
      <c r="N323" s="70">
        <f t="shared" si="68"/>
        <v>0</v>
      </c>
      <c r="O323" s="69">
        <f>O324</f>
        <v>91099</v>
      </c>
      <c r="P323" s="321"/>
    </row>
    <row r="324" spans="2:16" s="50" customFormat="1" ht="12.75">
      <c r="B324" s="25"/>
      <c r="C324" s="15">
        <v>85415</v>
      </c>
      <c r="D324" s="139"/>
      <c r="E324" s="140" t="s">
        <v>191</v>
      </c>
      <c r="F324" s="60">
        <f>F325</f>
        <v>46579</v>
      </c>
      <c r="G324" s="61">
        <f>G325</f>
        <v>44520</v>
      </c>
      <c r="H324" s="61">
        <f t="shared" si="68"/>
        <v>0</v>
      </c>
      <c r="I324" s="61">
        <f t="shared" si="68"/>
        <v>0</v>
      </c>
      <c r="J324" s="61">
        <f t="shared" si="68"/>
        <v>0</v>
      </c>
      <c r="K324" s="61">
        <f t="shared" si="68"/>
        <v>0</v>
      </c>
      <c r="L324" s="61">
        <f t="shared" si="68"/>
        <v>0</v>
      </c>
      <c r="M324" s="61">
        <f t="shared" si="68"/>
        <v>0</v>
      </c>
      <c r="N324" s="61">
        <f t="shared" si="68"/>
        <v>0</v>
      </c>
      <c r="O324" s="174">
        <f>O325</f>
        <v>91099</v>
      </c>
      <c r="P324" s="218"/>
    </row>
    <row r="325" spans="2:16" s="50" customFormat="1" ht="78.75">
      <c r="B325" s="25"/>
      <c r="C325" s="15"/>
      <c r="D325" s="28">
        <v>3260</v>
      </c>
      <c r="E325" s="29" t="s">
        <v>205</v>
      </c>
      <c r="F325" s="66">
        <v>46579</v>
      </c>
      <c r="G325" s="68">
        <f>38234+6286</f>
        <v>44520</v>
      </c>
      <c r="H325" s="68"/>
      <c r="I325" s="68"/>
      <c r="J325" s="68"/>
      <c r="K325" s="68"/>
      <c r="L325" s="68"/>
      <c r="M325" s="68"/>
      <c r="N325" s="68"/>
      <c r="O325" s="136">
        <f>F325+G325+H325+I325+J325+K325+L325+M325+N325</f>
        <v>91099</v>
      </c>
      <c r="P325" s="295" t="s">
        <v>381</v>
      </c>
    </row>
    <row r="326" spans="2:16" s="50" customFormat="1" ht="12.75">
      <c r="B326" s="31">
        <v>900</v>
      </c>
      <c r="C326" s="32"/>
      <c r="D326" s="32"/>
      <c r="E326" s="33" t="s">
        <v>41</v>
      </c>
      <c r="F326" s="69">
        <f>F327+F333</f>
        <v>734100</v>
      </c>
      <c r="G326" s="70">
        <f>G327+G333</f>
        <v>2739</v>
      </c>
      <c r="H326" s="70">
        <f aca="true" t="shared" si="69" ref="H326:N326">H327+H333</f>
        <v>0</v>
      </c>
      <c r="I326" s="70">
        <f t="shared" si="69"/>
        <v>0</v>
      </c>
      <c r="J326" s="70">
        <f t="shared" si="69"/>
        <v>0</v>
      </c>
      <c r="K326" s="70">
        <f t="shared" si="69"/>
        <v>0</v>
      </c>
      <c r="L326" s="70">
        <f t="shared" si="69"/>
        <v>0</v>
      </c>
      <c r="M326" s="70">
        <f t="shared" si="69"/>
        <v>0</v>
      </c>
      <c r="N326" s="70">
        <f t="shared" si="69"/>
        <v>0</v>
      </c>
      <c r="O326" s="69">
        <f>O327+O333</f>
        <v>736839</v>
      </c>
      <c r="P326" s="321"/>
    </row>
    <row r="327" spans="2:16" s="50" customFormat="1" ht="12.75">
      <c r="B327" s="25"/>
      <c r="C327" s="15">
        <v>90015</v>
      </c>
      <c r="D327" s="15"/>
      <c r="E327" s="18" t="s">
        <v>84</v>
      </c>
      <c r="F327" s="60">
        <f>SUM(F328:F332)</f>
        <v>431000</v>
      </c>
      <c r="G327" s="61">
        <f>SUM(G328:G332)</f>
        <v>1739</v>
      </c>
      <c r="H327" s="61">
        <f aca="true" t="shared" si="70" ref="H327:N327">SUM(H328:H332)</f>
        <v>0</v>
      </c>
      <c r="I327" s="61">
        <f t="shared" si="70"/>
        <v>0</v>
      </c>
      <c r="J327" s="61">
        <f t="shared" si="70"/>
        <v>0</v>
      </c>
      <c r="K327" s="61">
        <f t="shared" si="70"/>
        <v>0</v>
      </c>
      <c r="L327" s="61">
        <f t="shared" si="70"/>
        <v>0</v>
      </c>
      <c r="M327" s="61">
        <f t="shared" si="70"/>
        <v>0</v>
      </c>
      <c r="N327" s="61">
        <f t="shared" si="70"/>
        <v>0</v>
      </c>
      <c r="O327" s="174">
        <f>SUM(O328:O332)</f>
        <v>432739</v>
      </c>
      <c r="P327" s="320"/>
    </row>
    <row r="328" spans="2:16" s="50" customFormat="1" ht="22.5">
      <c r="B328" s="25"/>
      <c r="C328" s="28"/>
      <c r="D328" s="28">
        <v>4210</v>
      </c>
      <c r="E328" s="29" t="s">
        <v>45</v>
      </c>
      <c r="F328" s="43">
        <v>6000</v>
      </c>
      <c r="G328" s="87">
        <v>3500</v>
      </c>
      <c r="H328" s="87"/>
      <c r="I328" s="87"/>
      <c r="J328" s="87"/>
      <c r="K328" s="87"/>
      <c r="L328" s="87"/>
      <c r="M328" s="87"/>
      <c r="N328" s="87"/>
      <c r="O328" s="136">
        <f>F328+G328+H328+I328+J328+K328+L328+M328+N328</f>
        <v>9500</v>
      </c>
      <c r="P328" s="218" t="s">
        <v>382</v>
      </c>
    </row>
    <row r="329" spans="2:16" s="50" customFormat="1" ht="12.75">
      <c r="B329" s="25"/>
      <c r="C329" s="28"/>
      <c r="D329" s="28">
        <v>4260</v>
      </c>
      <c r="E329" s="29" t="s">
        <v>65</v>
      </c>
      <c r="F329" s="43">
        <v>120000</v>
      </c>
      <c r="G329" s="87"/>
      <c r="H329" s="87"/>
      <c r="I329" s="87"/>
      <c r="J329" s="87"/>
      <c r="K329" s="87"/>
      <c r="L329" s="87"/>
      <c r="M329" s="87"/>
      <c r="N329" s="87"/>
      <c r="O329" s="136">
        <f>F329+G329+H329+I329+J329+K329+L329+M329+N329</f>
        <v>120000</v>
      </c>
      <c r="P329" s="218"/>
    </row>
    <row r="330" spans="2:16" s="50" customFormat="1" ht="12.75">
      <c r="B330" s="25"/>
      <c r="C330" s="28"/>
      <c r="D330" s="28">
        <v>4270</v>
      </c>
      <c r="E330" s="29" t="s">
        <v>77</v>
      </c>
      <c r="F330" s="43">
        <v>200000</v>
      </c>
      <c r="G330" s="87"/>
      <c r="H330" s="87"/>
      <c r="I330" s="87"/>
      <c r="J330" s="87"/>
      <c r="K330" s="87"/>
      <c r="L330" s="87"/>
      <c r="M330" s="87"/>
      <c r="N330" s="87"/>
      <c r="O330" s="136">
        <f>F330+G330+H330+I330+J330+K330+L330+M330+N330</f>
        <v>200000</v>
      </c>
      <c r="P330" s="218"/>
    </row>
    <row r="331" spans="2:16" s="50" customFormat="1" ht="30.75" customHeight="1">
      <c r="B331" s="25"/>
      <c r="C331" s="28"/>
      <c r="D331" s="28">
        <v>4300</v>
      </c>
      <c r="E331" s="29" t="s">
        <v>47</v>
      </c>
      <c r="F331" s="43"/>
      <c r="G331" s="87">
        <v>8000</v>
      </c>
      <c r="H331" s="87"/>
      <c r="I331" s="87"/>
      <c r="J331" s="87"/>
      <c r="K331" s="87"/>
      <c r="L331" s="87"/>
      <c r="M331" s="87"/>
      <c r="N331" s="87"/>
      <c r="O331" s="136">
        <f>F331+G331+H331+I331+J331+K331+L331+M331+N331</f>
        <v>8000</v>
      </c>
      <c r="P331" s="218" t="s">
        <v>383</v>
      </c>
    </row>
    <row r="332" spans="2:16" s="50" customFormat="1" ht="45">
      <c r="B332" s="25"/>
      <c r="C332" s="28"/>
      <c r="D332" s="28">
        <v>6050</v>
      </c>
      <c r="E332" s="29" t="s">
        <v>50</v>
      </c>
      <c r="F332" s="43">
        <v>105000</v>
      </c>
      <c r="G332" s="115">
        <f>-7261-2500</f>
        <v>-9761</v>
      </c>
      <c r="H332" s="87"/>
      <c r="I332" s="87"/>
      <c r="J332" s="87"/>
      <c r="K332" s="87"/>
      <c r="L332" s="87"/>
      <c r="M332" s="87"/>
      <c r="N332" s="87"/>
      <c r="O332" s="136">
        <f>F332+G332+H332+I332+J332+K332+L332+M332+N332</f>
        <v>95239</v>
      </c>
      <c r="P332" s="294" t="s">
        <v>384</v>
      </c>
    </row>
    <row r="333" spans="2:16" s="50" customFormat="1" ht="12.75">
      <c r="B333" s="25"/>
      <c r="C333" s="15">
        <v>90095</v>
      </c>
      <c r="D333" s="15"/>
      <c r="E333" s="18" t="s">
        <v>40</v>
      </c>
      <c r="F333" s="60">
        <f>SUM(F334:F339)</f>
        <v>303100</v>
      </c>
      <c r="G333" s="61">
        <f>SUM(G334:G339)</f>
        <v>1000</v>
      </c>
      <c r="H333" s="61">
        <f aca="true" t="shared" si="71" ref="H333:N333">SUM(H334:H338)</f>
        <v>0</v>
      </c>
      <c r="I333" s="61">
        <f t="shared" si="71"/>
        <v>0</v>
      </c>
      <c r="J333" s="61">
        <f t="shared" si="71"/>
        <v>0</v>
      </c>
      <c r="K333" s="61">
        <f t="shared" si="71"/>
        <v>0</v>
      </c>
      <c r="L333" s="61">
        <f t="shared" si="71"/>
        <v>0</v>
      </c>
      <c r="M333" s="61">
        <f t="shared" si="71"/>
        <v>0</v>
      </c>
      <c r="N333" s="61">
        <f t="shared" si="71"/>
        <v>0</v>
      </c>
      <c r="O333" s="174">
        <f>SUM(O334:O339)</f>
        <v>304100</v>
      </c>
      <c r="P333" s="320"/>
    </row>
    <row r="334" spans="2:16" s="50" customFormat="1" ht="12.75">
      <c r="B334" s="25"/>
      <c r="C334" s="15"/>
      <c r="D334" s="28">
        <v>4170</v>
      </c>
      <c r="E334" s="29" t="s">
        <v>16</v>
      </c>
      <c r="F334" s="43">
        <v>20000</v>
      </c>
      <c r="G334" s="87"/>
      <c r="H334" s="87"/>
      <c r="I334" s="87"/>
      <c r="J334" s="87"/>
      <c r="K334" s="87"/>
      <c r="L334" s="87"/>
      <c r="M334" s="87"/>
      <c r="N334" s="87"/>
      <c r="O334" s="136">
        <f aca="true" t="shared" si="72" ref="O334:O339">F334+G334+H334+I334+J334+K334+L334+M334+N334</f>
        <v>20000</v>
      </c>
      <c r="P334" s="218"/>
    </row>
    <row r="335" spans="2:16" s="50" customFormat="1" ht="12.75">
      <c r="B335" s="25"/>
      <c r="C335" s="15"/>
      <c r="D335" s="28">
        <v>4210</v>
      </c>
      <c r="E335" s="29" t="s">
        <v>45</v>
      </c>
      <c r="F335" s="43">
        <f>5000+1500</f>
        <v>6500</v>
      </c>
      <c r="G335" s="87"/>
      <c r="H335" s="87"/>
      <c r="I335" s="87"/>
      <c r="J335" s="87"/>
      <c r="K335" s="87"/>
      <c r="L335" s="87"/>
      <c r="M335" s="87"/>
      <c r="N335" s="87"/>
      <c r="O335" s="136">
        <f t="shared" si="72"/>
        <v>6500</v>
      </c>
      <c r="P335" s="218"/>
    </row>
    <row r="336" spans="2:16" s="50" customFormat="1" ht="12.75">
      <c r="B336" s="25"/>
      <c r="C336" s="28"/>
      <c r="D336" s="28">
        <v>4260</v>
      </c>
      <c r="E336" s="29" t="s">
        <v>65</v>
      </c>
      <c r="F336" s="43">
        <v>2600</v>
      </c>
      <c r="G336" s="87">
        <v>1000</v>
      </c>
      <c r="H336" s="87"/>
      <c r="I336" s="87"/>
      <c r="J336" s="87"/>
      <c r="K336" s="87"/>
      <c r="L336" s="87"/>
      <c r="M336" s="87"/>
      <c r="N336" s="87"/>
      <c r="O336" s="136">
        <f t="shared" si="72"/>
        <v>3600</v>
      </c>
      <c r="P336" s="218" t="s">
        <v>385</v>
      </c>
    </row>
    <row r="337" spans="2:16" s="50" customFormat="1" ht="12.75">
      <c r="B337" s="25"/>
      <c r="C337" s="28"/>
      <c r="D337" s="28">
        <v>4300</v>
      </c>
      <c r="E337" s="29" t="s">
        <v>47</v>
      </c>
      <c r="F337" s="43">
        <v>74000</v>
      </c>
      <c r="G337" s="87"/>
      <c r="H337" s="87"/>
      <c r="I337" s="87"/>
      <c r="J337" s="87"/>
      <c r="K337" s="87"/>
      <c r="L337" s="87"/>
      <c r="M337" s="87"/>
      <c r="N337" s="87"/>
      <c r="O337" s="136">
        <f t="shared" si="72"/>
        <v>74000</v>
      </c>
      <c r="P337" s="218"/>
    </row>
    <row r="338" spans="2:16" s="50" customFormat="1" ht="12.75">
      <c r="B338" s="25"/>
      <c r="C338" s="28"/>
      <c r="D338" s="28">
        <v>4430</v>
      </c>
      <c r="E338" s="29" t="s">
        <v>52</v>
      </c>
      <c r="F338" s="43">
        <v>0</v>
      </c>
      <c r="G338" s="87"/>
      <c r="H338" s="87"/>
      <c r="I338" s="87"/>
      <c r="J338" s="87"/>
      <c r="K338" s="87"/>
      <c r="L338" s="87"/>
      <c r="M338" s="87"/>
      <c r="N338" s="87"/>
      <c r="O338" s="136">
        <f t="shared" si="72"/>
        <v>0</v>
      </c>
      <c r="P338" s="218"/>
    </row>
    <row r="339" spans="2:16" s="50" customFormat="1" ht="12.75">
      <c r="B339" s="25"/>
      <c r="C339" s="28"/>
      <c r="D339" s="28">
        <v>6050</v>
      </c>
      <c r="E339" s="29" t="s">
        <v>50</v>
      </c>
      <c r="F339" s="43">
        <v>200000</v>
      </c>
      <c r="G339" s="87"/>
      <c r="H339" s="87"/>
      <c r="I339" s="87"/>
      <c r="J339" s="87"/>
      <c r="K339" s="87"/>
      <c r="L339" s="87"/>
      <c r="M339" s="87"/>
      <c r="N339" s="87"/>
      <c r="O339" s="136">
        <f t="shared" si="72"/>
        <v>200000</v>
      </c>
      <c r="P339" s="218"/>
    </row>
    <row r="340" spans="2:16" s="50" customFormat="1" ht="12.75">
      <c r="B340" s="31">
        <v>921</v>
      </c>
      <c r="C340" s="32"/>
      <c r="D340" s="32"/>
      <c r="E340" s="33" t="s">
        <v>192</v>
      </c>
      <c r="F340" s="69">
        <f>F341+F343</f>
        <v>532200</v>
      </c>
      <c r="G340" s="70">
        <f>G341+G343</f>
        <v>45000</v>
      </c>
      <c r="H340" s="70">
        <f aca="true" t="shared" si="73" ref="H340:N340">H341+H343</f>
        <v>0</v>
      </c>
      <c r="I340" s="70">
        <f t="shared" si="73"/>
        <v>0</v>
      </c>
      <c r="J340" s="70">
        <f t="shared" si="73"/>
        <v>0</v>
      </c>
      <c r="K340" s="70">
        <f t="shared" si="73"/>
        <v>0</v>
      </c>
      <c r="L340" s="70">
        <f t="shared" si="73"/>
        <v>0</v>
      </c>
      <c r="M340" s="70">
        <f t="shared" si="73"/>
        <v>0</v>
      </c>
      <c r="N340" s="70">
        <f t="shared" si="73"/>
        <v>0</v>
      </c>
      <c r="O340" s="69">
        <f>O341+O343</f>
        <v>577200</v>
      </c>
      <c r="P340" s="321"/>
    </row>
    <row r="341" spans="2:16" s="50" customFormat="1" ht="12.75">
      <c r="B341" s="25"/>
      <c r="C341" s="15">
        <v>92109</v>
      </c>
      <c r="D341" s="15"/>
      <c r="E341" s="18" t="s">
        <v>17</v>
      </c>
      <c r="F341" s="60">
        <f aca="true" t="shared" si="74" ref="F341:N341">SUM(F342:F342)</f>
        <v>242200</v>
      </c>
      <c r="G341" s="61">
        <f t="shared" si="74"/>
        <v>0</v>
      </c>
      <c r="H341" s="61">
        <f t="shared" si="74"/>
        <v>0</v>
      </c>
      <c r="I341" s="61">
        <f t="shared" si="74"/>
        <v>0</v>
      </c>
      <c r="J341" s="61">
        <f t="shared" si="74"/>
        <v>0</v>
      </c>
      <c r="K341" s="61">
        <f t="shared" si="74"/>
        <v>0</v>
      </c>
      <c r="L341" s="61">
        <f t="shared" si="74"/>
        <v>0</v>
      </c>
      <c r="M341" s="61">
        <f t="shared" si="74"/>
        <v>0</v>
      </c>
      <c r="N341" s="61">
        <f t="shared" si="74"/>
        <v>0</v>
      </c>
      <c r="O341" s="174">
        <f>SUM(O342:O342)</f>
        <v>242200</v>
      </c>
      <c r="P341" s="320"/>
    </row>
    <row r="342" spans="2:16" s="50" customFormat="1" ht="25.5">
      <c r="B342" s="25"/>
      <c r="C342" s="28"/>
      <c r="D342" s="28">
        <v>2480</v>
      </c>
      <c r="E342" s="29" t="s">
        <v>18</v>
      </c>
      <c r="F342" s="43">
        <v>242200</v>
      </c>
      <c r="G342" s="87"/>
      <c r="H342" s="87"/>
      <c r="I342" s="87"/>
      <c r="J342" s="87"/>
      <c r="K342" s="87"/>
      <c r="L342" s="87"/>
      <c r="M342" s="87"/>
      <c r="N342" s="87"/>
      <c r="O342" s="136">
        <f>F342+G342+H342+I342+J342+K342+L342+M342+N342</f>
        <v>242200</v>
      </c>
      <c r="P342" s="218"/>
    </row>
    <row r="343" spans="2:16" s="50" customFormat="1" ht="12.75">
      <c r="B343" s="25"/>
      <c r="C343" s="15">
        <v>92116</v>
      </c>
      <c r="D343" s="15"/>
      <c r="E343" s="18" t="s">
        <v>193</v>
      </c>
      <c r="F343" s="60">
        <f aca="true" t="shared" si="75" ref="F343:N343">SUM(F344:F344)</f>
        <v>290000</v>
      </c>
      <c r="G343" s="61">
        <f t="shared" si="75"/>
        <v>45000</v>
      </c>
      <c r="H343" s="61">
        <f t="shared" si="75"/>
        <v>0</v>
      </c>
      <c r="I343" s="61">
        <f t="shared" si="75"/>
        <v>0</v>
      </c>
      <c r="J343" s="61">
        <f t="shared" si="75"/>
        <v>0</v>
      </c>
      <c r="K343" s="61">
        <f t="shared" si="75"/>
        <v>0</v>
      </c>
      <c r="L343" s="61">
        <f t="shared" si="75"/>
        <v>0</v>
      </c>
      <c r="M343" s="61">
        <f t="shared" si="75"/>
        <v>0</v>
      </c>
      <c r="N343" s="61">
        <f t="shared" si="75"/>
        <v>0</v>
      </c>
      <c r="O343" s="174">
        <f>SUM(O344:O344)</f>
        <v>335000</v>
      </c>
      <c r="P343" s="320"/>
    </row>
    <row r="344" spans="2:16" s="50" customFormat="1" ht="25.5">
      <c r="B344" s="25"/>
      <c r="C344" s="28"/>
      <c r="D344" s="28">
        <v>2480</v>
      </c>
      <c r="E344" s="29" t="s">
        <v>18</v>
      </c>
      <c r="F344" s="43">
        <f>375000-85000</f>
        <v>290000</v>
      </c>
      <c r="G344" s="87">
        <v>45000</v>
      </c>
      <c r="H344" s="87"/>
      <c r="I344" s="87"/>
      <c r="J344" s="87"/>
      <c r="K344" s="87"/>
      <c r="L344" s="87"/>
      <c r="M344" s="87"/>
      <c r="N344" s="87"/>
      <c r="O344" s="136">
        <f>F344+G344+H344+I344+J344+K344+L344+M344+N344</f>
        <v>335000</v>
      </c>
      <c r="P344" s="218" t="s">
        <v>386</v>
      </c>
    </row>
    <row r="345" spans="2:16" s="50" customFormat="1" ht="12.75">
      <c r="B345" s="31">
        <v>926</v>
      </c>
      <c r="C345" s="32"/>
      <c r="D345" s="32"/>
      <c r="E345" s="33" t="s">
        <v>19</v>
      </c>
      <c r="F345" s="69">
        <f>F346+F349</f>
        <v>308682</v>
      </c>
      <c r="G345" s="309">
        <f>G346+G349</f>
        <v>-14000</v>
      </c>
      <c r="H345" s="70">
        <f aca="true" t="shared" si="76" ref="H345:N345">H346+H349</f>
        <v>0</v>
      </c>
      <c r="I345" s="70">
        <f t="shared" si="76"/>
        <v>0</v>
      </c>
      <c r="J345" s="70">
        <f t="shared" si="76"/>
        <v>0</v>
      </c>
      <c r="K345" s="70">
        <f t="shared" si="76"/>
        <v>0</v>
      </c>
      <c r="L345" s="70">
        <f t="shared" si="76"/>
        <v>0</v>
      </c>
      <c r="M345" s="70">
        <f t="shared" si="76"/>
        <v>0</v>
      </c>
      <c r="N345" s="70">
        <f t="shared" si="76"/>
        <v>0</v>
      </c>
      <c r="O345" s="69">
        <f>O346+O349</f>
        <v>294682</v>
      </c>
      <c r="P345" s="321"/>
    </row>
    <row r="346" spans="2:16" s="50" customFormat="1" ht="12.75">
      <c r="B346" s="25"/>
      <c r="C346" s="15">
        <v>92605</v>
      </c>
      <c r="D346" s="15"/>
      <c r="E346" s="18" t="s">
        <v>20</v>
      </c>
      <c r="F346" s="60">
        <f>SUM(F347:F348)</f>
        <v>122300</v>
      </c>
      <c r="G346" s="61">
        <f>SUM(G347:G348)</f>
        <v>0</v>
      </c>
      <c r="H346" s="61">
        <f aca="true" t="shared" si="77" ref="H346:N346">SUM(H347:H347)</f>
        <v>0</v>
      </c>
      <c r="I346" s="61">
        <f t="shared" si="77"/>
        <v>0</v>
      </c>
      <c r="J346" s="61">
        <f t="shared" si="77"/>
        <v>0</v>
      </c>
      <c r="K346" s="61">
        <f t="shared" si="77"/>
        <v>0</v>
      </c>
      <c r="L346" s="61">
        <f t="shared" si="77"/>
        <v>0</v>
      </c>
      <c r="M346" s="61">
        <f t="shared" si="77"/>
        <v>0</v>
      </c>
      <c r="N346" s="61">
        <f t="shared" si="77"/>
        <v>0</v>
      </c>
      <c r="O346" s="174">
        <f>SUM(O347:O348)</f>
        <v>122300</v>
      </c>
      <c r="P346" s="320"/>
    </row>
    <row r="347" spans="2:16" s="50" customFormat="1" ht="38.25">
      <c r="B347" s="25"/>
      <c r="C347" s="15"/>
      <c r="D347" s="28">
        <v>2820</v>
      </c>
      <c r="E347" s="29" t="s">
        <v>206</v>
      </c>
      <c r="F347" s="66">
        <v>33000</v>
      </c>
      <c r="G347" s="68"/>
      <c r="H347" s="68"/>
      <c r="I347" s="68"/>
      <c r="J347" s="68"/>
      <c r="K347" s="68"/>
      <c r="L347" s="68"/>
      <c r="M347" s="68"/>
      <c r="N347" s="68"/>
      <c r="O347" s="136">
        <f>F347+G347+H347+I347+J347+K347+L347+M347+N347</f>
        <v>33000</v>
      </c>
      <c r="P347" s="218"/>
    </row>
    <row r="348" spans="2:16" s="50" customFormat="1" ht="12.75">
      <c r="B348" s="25"/>
      <c r="C348" s="15"/>
      <c r="D348" s="28">
        <v>4270</v>
      </c>
      <c r="E348" s="29" t="s">
        <v>77</v>
      </c>
      <c r="F348" s="66">
        <v>89300</v>
      </c>
      <c r="G348" s="68"/>
      <c r="H348" s="68"/>
      <c r="I348" s="68"/>
      <c r="J348" s="68"/>
      <c r="K348" s="68"/>
      <c r="L348" s="68"/>
      <c r="M348" s="68"/>
      <c r="N348" s="68"/>
      <c r="O348" s="136">
        <f>F348+G348+H348+I348+J348+K348+L348+M348+N348</f>
        <v>89300</v>
      </c>
      <c r="P348" s="218"/>
    </row>
    <row r="349" spans="2:16" s="50" customFormat="1" ht="17.25" customHeight="1">
      <c r="B349" s="25"/>
      <c r="C349" s="15">
        <v>92695</v>
      </c>
      <c r="D349" s="15"/>
      <c r="E349" s="18" t="s">
        <v>40</v>
      </c>
      <c r="F349" s="60">
        <f>SUM(F350:F357)</f>
        <v>186382</v>
      </c>
      <c r="G349" s="137">
        <f>SUM(G350:G357)</f>
        <v>-14000</v>
      </c>
      <c r="H349" s="61">
        <f aca="true" t="shared" si="78" ref="H349:N349">SUM(H350:H356)</f>
        <v>0</v>
      </c>
      <c r="I349" s="61">
        <f t="shared" si="78"/>
        <v>0</v>
      </c>
      <c r="J349" s="61">
        <f t="shared" si="78"/>
        <v>0</v>
      </c>
      <c r="K349" s="61">
        <f t="shared" si="78"/>
        <v>0</v>
      </c>
      <c r="L349" s="61">
        <f t="shared" si="78"/>
        <v>0</v>
      </c>
      <c r="M349" s="61">
        <f t="shared" si="78"/>
        <v>0</v>
      </c>
      <c r="N349" s="61">
        <f t="shared" si="78"/>
        <v>0</v>
      </c>
      <c r="O349" s="174">
        <f>SUM(O350:O357)</f>
        <v>172382</v>
      </c>
      <c r="P349" s="320"/>
    </row>
    <row r="350" spans="2:16" s="50" customFormat="1" ht="12.75">
      <c r="B350" s="25"/>
      <c r="C350" s="28"/>
      <c r="D350" s="28">
        <v>4170</v>
      </c>
      <c r="E350" s="29" t="s">
        <v>69</v>
      </c>
      <c r="F350" s="43">
        <v>9632</v>
      </c>
      <c r="G350" s="87"/>
      <c r="H350" s="87"/>
      <c r="I350" s="87"/>
      <c r="J350" s="87"/>
      <c r="K350" s="87"/>
      <c r="L350" s="87"/>
      <c r="M350" s="87"/>
      <c r="N350" s="87"/>
      <c r="O350" s="136">
        <f aca="true" t="shared" si="79" ref="O350:O357">F350+G350+H350+I350+J350+K350+L350+M350+N350</f>
        <v>9632</v>
      </c>
      <c r="P350" s="218"/>
    </row>
    <row r="351" spans="2:16" s="50" customFormat="1" ht="22.5" customHeight="1">
      <c r="B351" s="25"/>
      <c r="C351" s="28"/>
      <c r="D351" s="28">
        <v>4210</v>
      </c>
      <c r="E351" s="29" t="s">
        <v>45</v>
      </c>
      <c r="F351" s="43">
        <v>25600</v>
      </c>
      <c r="G351" s="87"/>
      <c r="H351" s="87"/>
      <c r="I351" s="87"/>
      <c r="J351" s="87"/>
      <c r="K351" s="87"/>
      <c r="L351" s="87"/>
      <c r="M351" s="87"/>
      <c r="N351" s="87"/>
      <c r="O351" s="136">
        <f t="shared" si="79"/>
        <v>25600</v>
      </c>
      <c r="P351" s="218"/>
    </row>
    <row r="352" spans="2:16" s="50" customFormat="1" ht="12.75">
      <c r="B352" s="25"/>
      <c r="C352" s="28"/>
      <c r="D352" s="28">
        <v>4260</v>
      </c>
      <c r="E352" s="29" t="s">
        <v>65</v>
      </c>
      <c r="F352" s="43">
        <v>16200</v>
      </c>
      <c r="G352" s="87"/>
      <c r="H352" s="87"/>
      <c r="I352" s="87"/>
      <c r="J352" s="87"/>
      <c r="K352" s="87"/>
      <c r="L352" s="87"/>
      <c r="M352" s="87"/>
      <c r="N352" s="87"/>
      <c r="O352" s="136">
        <f t="shared" si="79"/>
        <v>16200</v>
      </c>
      <c r="P352" s="218"/>
    </row>
    <row r="353" spans="2:16" s="50" customFormat="1" ht="12.75">
      <c r="B353" s="25"/>
      <c r="C353" s="28"/>
      <c r="D353" s="28">
        <v>4300</v>
      </c>
      <c r="E353" s="29" t="s">
        <v>47</v>
      </c>
      <c r="F353" s="43">
        <v>71000</v>
      </c>
      <c r="G353" s="87"/>
      <c r="H353" s="87"/>
      <c r="I353" s="87"/>
      <c r="J353" s="87"/>
      <c r="K353" s="87"/>
      <c r="L353" s="87"/>
      <c r="M353" s="87"/>
      <c r="N353" s="87"/>
      <c r="O353" s="136">
        <f t="shared" si="79"/>
        <v>71000</v>
      </c>
      <c r="P353" s="218"/>
    </row>
    <row r="354" spans="2:16" s="50" customFormat="1" ht="12.75">
      <c r="B354" s="25"/>
      <c r="C354" s="28"/>
      <c r="D354" s="28">
        <v>4410</v>
      </c>
      <c r="E354" s="29" t="s">
        <v>66</v>
      </c>
      <c r="F354" s="43">
        <v>500</v>
      </c>
      <c r="G354" s="87"/>
      <c r="H354" s="87"/>
      <c r="I354" s="87"/>
      <c r="J354" s="87"/>
      <c r="K354" s="87"/>
      <c r="L354" s="87"/>
      <c r="M354" s="87"/>
      <c r="N354" s="87"/>
      <c r="O354" s="136">
        <f t="shared" si="79"/>
        <v>500</v>
      </c>
      <c r="P354" s="218"/>
    </row>
    <row r="355" spans="2:16" s="50" customFormat="1" ht="12.75">
      <c r="B355" s="25"/>
      <c r="C355" s="28"/>
      <c r="D355" s="28">
        <v>4430</v>
      </c>
      <c r="E355" s="29" t="s">
        <v>52</v>
      </c>
      <c r="F355" s="43">
        <v>1000</v>
      </c>
      <c r="G355" s="87"/>
      <c r="H355" s="87"/>
      <c r="I355" s="87"/>
      <c r="J355" s="87"/>
      <c r="K355" s="87"/>
      <c r="L355" s="87"/>
      <c r="M355" s="87"/>
      <c r="N355" s="87"/>
      <c r="O355" s="136">
        <f t="shared" si="79"/>
        <v>1000</v>
      </c>
      <c r="P355" s="218"/>
    </row>
    <row r="356" spans="2:16" s="50" customFormat="1" ht="22.5">
      <c r="B356" s="146"/>
      <c r="C356" s="220"/>
      <c r="D356" s="28">
        <v>6050</v>
      </c>
      <c r="E356" s="29" t="s">
        <v>50</v>
      </c>
      <c r="F356" s="43">
        <v>50000</v>
      </c>
      <c r="G356" s="115">
        <v>-14000</v>
      </c>
      <c r="H356" s="87"/>
      <c r="I356" s="87"/>
      <c r="J356" s="87"/>
      <c r="K356" s="87"/>
      <c r="L356" s="87"/>
      <c r="M356" s="87"/>
      <c r="N356" s="87"/>
      <c r="O356" s="136">
        <f t="shared" si="79"/>
        <v>36000</v>
      </c>
      <c r="P356" s="219" t="s">
        <v>387</v>
      </c>
    </row>
    <row r="357" spans="2:16" s="50" customFormat="1" ht="25.5">
      <c r="B357" s="146"/>
      <c r="C357" s="220"/>
      <c r="D357" s="28">
        <v>6060</v>
      </c>
      <c r="E357" s="29" t="s">
        <v>61</v>
      </c>
      <c r="F357" s="302">
        <v>12450</v>
      </c>
      <c r="G357" s="303"/>
      <c r="H357" s="303"/>
      <c r="I357" s="303"/>
      <c r="J357" s="303"/>
      <c r="K357" s="303"/>
      <c r="L357" s="303"/>
      <c r="M357" s="303"/>
      <c r="N357" s="303"/>
      <c r="O357" s="136">
        <f t="shared" si="79"/>
        <v>12450</v>
      </c>
      <c r="P357" s="324"/>
    </row>
    <row r="358" spans="2:16" s="50" customFormat="1" ht="13.5" thickBot="1">
      <c r="B358" s="91"/>
      <c r="C358" s="92"/>
      <c r="D358" s="92"/>
      <c r="E358" s="93" t="s">
        <v>85</v>
      </c>
      <c r="F358" s="180"/>
      <c r="G358" s="180">
        <f>G4+G24+G30+G46+G91+G94+G129+G132+G255+G275+G326+G340+G345+G38+G126+G120+G20+G323</f>
        <v>54752</v>
      </c>
      <c r="H358" s="179" t="e">
        <f aca="true" t="shared" si="80" ref="H358:N358">H4+H24+H30+H46+H91+H94+H129+H132+H255+H275+H326+H340+H345+H38+H126+H120+H20+H323</f>
        <v>#REF!</v>
      </c>
      <c r="I358" s="179" t="e">
        <f t="shared" si="80"/>
        <v>#REF!</v>
      </c>
      <c r="J358" s="179" t="e">
        <f t="shared" si="80"/>
        <v>#REF!</v>
      </c>
      <c r="K358" s="179" t="e">
        <f t="shared" si="80"/>
        <v>#REF!</v>
      </c>
      <c r="L358" s="178" t="e">
        <f t="shared" si="80"/>
        <v>#REF!</v>
      </c>
      <c r="M358" s="179" t="e">
        <f t="shared" si="80"/>
        <v>#REF!</v>
      </c>
      <c r="N358" s="178" t="e">
        <f t="shared" si="80"/>
        <v>#REF!</v>
      </c>
      <c r="O358" s="180"/>
      <c r="P358" s="325"/>
    </row>
    <row r="359" spans="6:16" s="50" customFormat="1" ht="12.75">
      <c r="F359" s="96"/>
      <c r="G359" s="97"/>
      <c r="H359" s="96"/>
      <c r="I359" s="96"/>
      <c r="J359" s="96"/>
      <c r="K359" s="96"/>
      <c r="L359" s="96"/>
      <c r="M359" s="97"/>
      <c r="N359" s="97"/>
      <c r="O359" s="102"/>
      <c r="P359" s="221"/>
    </row>
    <row r="360" spans="6:15" ht="12.75">
      <c r="F360" s="141"/>
      <c r="G360" s="304"/>
      <c r="O360" s="167"/>
    </row>
    <row r="361" spans="6:15" ht="12.75">
      <c r="F361" s="141"/>
      <c r="O361" s="141"/>
    </row>
    <row r="362" spans="6:15" ht="12.75">
      <c r="F362" s="141"/>
      <c r="O362" s="141"/>
    </row>
    <row r="363" spans="5:15" ht="12.75">
      <c r="E363" s="223"/>
      <c r="F363" s="141"/>
      <c r="O363" s="141"/>
    </row>
    <row r="364" spans="5:15" ht="12.75">
      <c r="E364" s="223"/>
      <c r="F364" s="141"/>
      <c r="O364" s="141"/>
    </row>
    <row r="365" spans="6:15" ht="12.75">
      <c r="F365" s="224"/>
      <c r="O365" s="224"/>
    </row>
    <row r="366" ht="12.75">
      <c r="O366" s="167"/>
    </row>
    <row r="367" ht="12.75">
      <c r="O367" s="167"/>
    </row>
    <row r="368" spans="6:15" ht="12.75">
      <c r="F368" s="141"/>
      <c r="G368" s="304"/>
      <c r="O368" s="141"/>
    </row>
    <row r="369" ht="12.75">
      <c r="O369" s="167"/>
    </row>
    <row r="370" ht="12.75">
      <c r="O370" s="167"/>
    </row>
    <row r="371" ht="12.75">
      <c r="O371" s="167"/>
    </row>
    <row r="372" ht="12.75">
      <c r="O372" s="167"/>
    </row>
    <row r="373" ht="12.75">
      <c r="O373" s="167"/>
    </row>
    <row r="374" ht="12.75">
      <c r="O374" s="167"/>
    </row>
    <row r="375" ht="12.75">
      <c r="O375" s="167"/>
    </row>
    <row r="376" ht="12.75">
      <c r="O376" s="167"/>
    </row>
    <row r="377" ht="12.75">
      <c r="O377" s="167"/>
    </row>
    <row r="378" ht="12.75">
      <c r="O378" s="167"/>
    </row>
    <row r="379" ht="12.75">
      <c r="O379" s="167"/>
    </row>
    <row r="380" ht="12.75">
      <c r="O380" s="167"/>
    </row>
    <row r="381" ht="12.75">
      <c r="O381" s="167"/>
    </row>
    <row r="382" ht="12.75">
      <c r="O382" s="167"/>
    </row>
    <row r="383" ht="12.75">
      <c r="O383" s="167"/>
    </row>
    <row r="384" ht="12.75">
      <c r="O384" s="167"/>
    </row>
    <row r="385" ht="12.75">
      <c r="O385" s="167"/>
    </row>
    <row r="386" ht="12.75">
      <c r="O386" s="167"/>
    </row>
    <row r="387" ht="12.75">
      <c r="O387" s="167"/>
    </row>
    <row r="388" ht="12.75">
      <c r="O388" s="167"/>
    </row>
    <row r="389" ht="12.75">
      <c r="O389" s="167"/>
    </row>
    <row r="390" ht="12.75">
      <c r="O390" s="167"/>
    </row>
    <row r="391" ht="12.75">
      <c r="O391" s="167"/>
    </row>
    <row r="392" ht="12.75">
      <c r="O392" s="167"/>
    </row>
    <row r="393" ht="12.75">
      <c r="O393" s="167"/>
    </row>
    <row r="394" ht="12.75">
      <c r="O394" s="167"/>
    </row>
    <row r="395" ht="12.75">
      <c r="O395" s="167"/>
    </row>
    <row r="396" ht="12.75">
      <c r="O396" s="167"/>
    </row>
    <row r="397" ht="12.75">
      <c r="O397" s="167"/>
    </row>
    <row r="398" ht="12.75">
      <c r="O398" s="167"/>
    </row>
    <row r="399" ht="12.75">
      <c r="O399" s="167"/>
    </row>
    <row r="400" ht="12.75">
      <c r="O400" s="167"/>
    </row>
    <row r="401" ht="12.75">
      <c r="O401" s="167"/>
    </row>
    <row r="402" ht="12.75">
      <c r="O402" s="167"/>
    </row>
    <row r="403" ht="12.75">
      <c r="O403" s="167"/>
    </row>
    <row r="404" ht="12.75">
      <c r="O404" s="167"/>
    </row>
    <row r="405" ht="12.75">
      <c r="O405" s="167"/>
    </row>
    <row r="406" ht="12.75">
      <c r="O406" s="167"/>
    </row>
    <row r="407" ht="12.75">
      <c r="O407" s="167"/>
    </row>
    <row r="408" ht="12.75">
      <c r="O408" s="167"/>
    </row>
    <row r="409" ht="12.75">
      <c r="O409" s="167"/>
    </row>
    <row r="410" ht="12.75">
      <c r="O410" s="167"/>
    </row>
    <row r="411" ht="12.75">
      <c r="O411" s="167"/>
    </row>
  </sheetData>
  <sheetProtection/>
  <mergeCells count="3">
    <mergeCell ref="P66:P80"/>
    <mergeCell ref="P85:P87"/>
    <mergeCell ref="P92:P93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2"/>
  <sheetViews>
    <sheetView zoomScale="150" zoomScaleNormal="150" zoomScalePageLayoutView="0" workbookViewId="0" topLeftCell="A1">
      <selection activeCell="D32" sqref="D32"/>
    </sheetView>
  </sheetViews>
  <sheetFormatPr defaultColWidth="9.140625" defaultRowHeight="12.75"/>
  <cols>
    <col min="1" max="1" width="4.421875" style="326" customWidth="1"/>
    <col min="2" max="2" width="6.7109375" style="326" customWidth="1"/>
    <col min="3" max="3" width="31.7109375" style="326" customWidth="1"/>
    <col min="4" max="4" width="15.8515625" style="326" customWidth="1"/>
    <col min="5" max="5" width="11.57421875" style="326" customWidth="1"/>
    <col min="6" max="6" width="14.7109375" style="326" customWidth="1"/>
    <col min="7" max="7" width="14.28125" style="326" customWidth="1"/>
    <col min="8" max="8" width="12.00390625" style="326" customWidth="1"/>
    <col min="9" max="9" width="14.00390625" style="326" customWidth="1"/>
    <col min="10" max="10" width="21.57421875" style="326" customWidth="1"/>
    <col min="11" max="13" width="9.140625" style="326" customWidth="1"/>
    <col min="14" max="14" width="7.8515625" style="326" customWidth="1"/>
    <col min="15" max="15" width="19.28125" style="326" customWidth="1"/>
    <col min="16" max="16" width="14.57421875" style="326" customWidth="1"/>
    <col min="17" max="17" width="14.140625" style="326" customWidth="1"/>
    <col min="18" max="18" width="14.421875" style="326" customWidth="1"/>
    <col min="19" max="19" width="14.57421875" style="326" customWidth="1"/>
    <col min="20" max="20" width="13.140625" style="326" customWidth="1"/>
    <col min="21" max="21" width="17.28125" style="326" customWidth="1"/>
    <col min="22" max="16384" width="9.140625" style="326" customWidth="1"/>
  </cols>
  <sheetData>
    <row r="2" spans="9:11" ht="21" customHeight="1">
      <c r="I2" s="327"/>
      <c r="J2" s="405" t="s">
        <v>388</v>
      </c>
      <c r="K2" s="225"/>
    </row>
    <row r="3" spans="2:11" ht="21" customHeight="1">
      <c r="B3" s="406" t="s">
        <v>389</v>
      </c>
      <c r="C3" s="406"/>
      <c r="D3" s="406"/>
      <c r="E3" s="406"/>
      <c r="F3" s="406"/>
      <c r="G3" s="406"/>
      <c r="H3" s="406"/>
      <c r="I3" s="406"/>
      <c r="J3" s="405"/>
      <c r="K3" s="225"/>
    </row>
    <row r="4" spans="2:9" ht="12.75">
      <c r="B4" s="406"/>
      <c r="C4" s="406"/>
      <c r="D4" s="406"/>
      <c r="E4" s="406"/>
      <c r="F4" s="406"/>
      <c r="G4" s="406"/>
      <c r="H4" s="406"/>
      <c r="I4" s="406"/>
    </row>
    <row r="6" spans="2:10" ht="12.75" customHeight="1">
      <c r="B6" s="407" t="s">
        <v>390</v>
      </c>
      <c r="C6" s="407" t="s">
        <v>391</v>
      </c>
      <c r="D6" s="400" t="s">
        <v>392</v>
      </c>
      <c r="E6" s="410" t="s">
        <v>25</v>
      </c>
      <c r="F6" s="400" t="s">
        <v>393</v>
      </c>
      <c r="G6" s="400" t="s">
        <v>394</v>
      </c>
      <c r="H6" s="410" t="s">
        <v>25</v>
      </c>
      <c r="I6" s="400" t="s">
        <v>395</v>
      </c>
      <c r="J6" s="400" t="s">
        <v>26</v>
      </c>
    </row>
    <row r="7" spans="2:10" s="4" customFormat="1" ht="12.75" customHeight="1">
      <c r="B7" s="408"/>
      <c r="C7" s="408"/>
      <c r="D7" s="401"/>
      <c r="E7" s="411"/>
      <c r="F7" s="401"/>
      <c r="G7" s="401"/>
      <c r="H7" s="411"/>
      <c r="I7" s="401"/>
      <c r="J7" s="401"/>
    </row>
    <row r="8" spans="2:10" ht="12.75" customHeight="1">
      <c r="B8" s="409"/>
      <c r="C8" s="409"/>
      <c r="D8" s="402"/>
      <c r="E8" s="412"/>
      <c r="F8" s="402"/>
      <c r="G8" s="402"/>
      <c r="H8" s="412"/>
      <c r="I8" s="402"/>
      <c r="J8" s="402"/>
    </row>
    <row r="9" spans="2:10" ht="12.75" customHeight="1">
      <c r="B9" s="328"/>
      <c r="C9" s="328"/>
      <c r="D9" s="328"/>
      <c r="E9" s="329"/>
      <c r="F9" s="328"/>
      <c r="G9" s="328"/>
      <c r="H9" s="329"/>
      <c r="I9" s="328"/>
      <c r="J9" s="328"/>
    </row>
    <row r="10" spans="2:10" s="22" customFormat="1" ht="34.5" customHeight="1">
      <c r="B10" s="8">
        <v>400</v>
      </c>
      <c r="C10" s="9" t="s">
        <v>396</v>
      </c>
      <c r="D10" s="330">
        <v>740570</v>
      </c>
      <c r="E10" s="331">
        <v>37100</v>
      </c>
      <c r="F10" s="330">
        <f>D10+E10</f>
        <v>777670</v>
      </c>
      <c r="G10" s="330">
        <v>740570</v>
      </c>
      <c r="H10" s="386">
        <v>37100</v>
      </c>
      <c r="I10" s="394">
        <f>G10+H10</f>
        <v>777670</v>
      </c>
      <c r="J10" s="397" t="s">
        <v>397</v>
      </c>
    </row>
    <row r="11" spans="2:10" s="22" customFormat="1" ht="12.75" customHeight="1" hidden="1">
      <c r="B11" s="8"/>
      <c r="C11" s="332" t="s">
        <v>398</v>
      </c>
      <c r="D11" s="330"/>
      <c r="E11" s="331"/>
      <c r="F11" s="330"/>
      <c r="G11" s="333"/>
      <c r="H11" s="393"/>
      <c r="I11" s="395"/>
      <c r="J11" s="398"/>
    </row>
    <row r="12" spans="2:10" s="22" customFormat="1" ht="12.75" customHeight="1" hidden="1">
      <c r="B12" s="8"/>
      <c r="C12" s="334" t="s">
        <v>399</v>
      </c>
      <c r="D12" s="335"/>
      <c r="E12" s="336"/>
      <c r="F12" s="337">
        <f aca="true" t="shared" si="0" ref="F12:F23">D12+E12</f>
        <v>0</v>
      </c>
      <c r="G12" s="333"/>
      <c r="H12" s="393"/>
      <c r="I12" s="395"/>
      <c r="J12" s="398"/>
    </row>
    <row r="13" spans="2:10" s="22" customFormat="1" ht="12.75" customHeight="1" hidden="1">
      <c r="B13" s="8"/>
      <c r="C13" s="334" t="s">
        <v>400</v>
      </c>
      <c r="D13" s="335"/>
      <c r="E13" s="336"/>
      <c r="F13" s="337">
        <f t="shared" si="0"/>
        <v>0</v>
      </c>
      <c r="G13" s="338"/>
      <c r="H13" s="387"/>
      <c r="I13" s="396"/>
      <c r="J13" s="399"/>
    </row>
    <row r="14" spans="2:10" s="22" customFormat="1" ht="12.75">
      <c r="B14" s="339"/>
      <c r="C14" s="340"/>
      <c r="D14" s="341"/>
      <c r="E14" s="342"/>
      <c r="F14" s="343"/>
      <c r="G14" s="344"/>
      <c r="H14" s="345"/>
      <c r="I14" s="344"/>
      <c r="J14" s="341"/>
    </row>
    <row r="15" spans="2:10" s="22" customFormat="1" ht="20.25" customHeight="1">
      <c r="B15" s="8">
        <v>600</v>
      </c>
      <c r="C15" s="346" t="s">
        <v>53</v>
      </c>
      <c r="D15" s="330">
        <v>226300</v>
      </c>
      <c r="E15" s="331"/>
      <c r="F15" s="330">
        <f t="shared" si="0"/>
        <v>226300</v>
      </c>
      <c r="G15" s="403">
        <v>226300</v>
      </c>
      <c r="H15" s="386"/>
      <c r="I15" s="394">
        <f>G15+H15</f>
        <v>226300</v>
      </c>
      <c r="J15" s="397"/>
    </row>
    <row r="16" spans="2:10" s="22" customFormat="1" ht="22.5" customHeight="1">
      <c r="B16" s="8"/>
      <c r="C16" s="334" t="s">
        <v>401</v>
      </c>
      <c r="D16" s="335">
        <v>226300</v>
      </c>
      <c r="E16" s="336"/>
      <c r="F16" s="337">
        <f t="shared" si="0"/>
        <v>226300</v>
      </c>
      <c r="G16" s="404"/>
      <c r="H16" s="387"/>
      <c r="I16" s="396"/>
      <c r="J16" s="399"/>
    </row>
    <row r="17" spans="2:10" s="22" customFormat="1" ht="12.75">
      <c r="B17" s="339"/>
      <c r="C17" s="340"/>
      <c r="D17" s="341"/>
      <c r="E17" s="342"/>
      <c r="F17" s="343"/>
      <c r="G17" s="344"/>
      <c r="H17" s="345"/>
      <c r="I17" s="344"/>
      <c r="J17" s="341"/>
    </row>
    <row r="18" spans="2:10" s="22" customFormat="1" ht="27.75" customHeight="1">
      <c r="B18" s="8">
        <v>700</v>
      </c>
      <c r="C18" s="9" t="s">
        <v>27</v>
      </c>
      <c r="D18" s="330">
        <v>355650</v>
      </c>
      <c r="E18" s="331">
        <v>1720</v>
      </c>
      <c r="F18" s="330">
        <f t="shared" si="0"/>
        <v>357370</v>
      </c>
      <c r="G18" s="330">
        <v>355650</v>
      </c>
      <c r="H18" s="386">
        <v>1720</v>
      </c>
      <c r="I18" s="394">
        <f>G18+H18</f>
        <v>357370</v>
      </c>
      <c r="J18" s="388"/>
    </row>
    <row r="19" spans="2:10" s="22" customFormat="1" ht="12.75" hidden="1">
      <c r="B19" s="8"/>
      <c r="C19" s="334" t="s">
        <v>401</v>
      </c>
      <c r="D19" s="335">
        <v>0</v>
      </c>
      <c r="E19" s="336"/>
      <c r="F19" s="337">
        <f t="shared" si="0"/>
        <v>0</v>
      </c>
      <c r="G19" s="338"/>
      <c r="H19" s="387"/>
      <c r="I19" s="396"/>
      <c r="J19" s="389"/>
    </row>
    <row r="20" spans="2:10" s="22" customFormat="1" ht="12.75">
      <c r="B20" s="339"/>
      <c r="C20" s="340"/>
      <c r="D20" s="341"/>
      <c r="E20" s="342"/>
      <c r="F20" s="343"/>
      <c r="G20" s="344"/>
      <c r="H20" s="345"/>
      <c r="I20" s="344"/>
      <c r="J20" s="341"/>
    </row>
    <row r="21" spans="2:10" s="22" customFormat="1" ht="33.75" customHeight="1">
      <c r="B21" s="8">
        <v>900</v>
      </c>
      <c r="C21" s="9" t="s">
        <v>402</v>
      </c>
      <c r="D21" s="330">
        <v>1991510</v>
      </c>
      <c r="E21" s="331">
        <v>237945</v>
      </c>
      <c r="F21" s="330">
        <f t="shared" si="0"/>
        <v>2229455</v>
      </c>
      <c r="G21" s="390">
        <v>1991510</v>
      </c>
      <c r="H21" s="386">
        <v>237945</v>
      </c>
      <c r="I21" s="394">
        <f>G21+H21</f>
        <v>2229455</v>
      </c>
      <c r="J21" s="397" t="s">
        <v>403</v>
      </c>
    </row>
    <row r="22" spans="2:10" s="22" customFormat="1" ht="12.75">
      <c r="B22" s="8"/>
      <c r="C22" s="334" t="s">
        <v>401</v>
      </c>
      <c r="D22" s="335">
        <v>173930</v>
      </c>
      <c r="E22" s="336">
        <v>6045</v>
      </c>
      <c r="F22" s="337">
        <f t="shared" si="0"/>
        <v>179975</v>
      </c>
      <c r="G22" s="391"/>
      <c r="H22" s="393"/>
      <c r="I22" s="395"/>
      <c r="J22" s="398"/>
    </row>
    <row r="23" spans="2:10" s="22" customFormat="1" ht="12.75">
      <c r="B23" s="8"/>
      <c r="C23" s="334" t="s">
        <v>400</v>
      </c>
      <c r="D23" s="335">
        <v>183000</v>
      </c>
      <c r="E23" s="347">
        <v>-22225</v>
      </c>
      <c r="F23" s="337">
        <f t="shared" si="0"/>
        <v>160775</v>
      </c>
      <c r="G23" s="392"/>
      <c r="H23" s="387"/>
      <c r="I23" s="396"/>
      <c r="J23" s="399"/>
    </row>
    <row r="24" spans="2:10" s="348" customFormat="1" ht="15.75">
      <c r="B24" s="349"/>
      <c r="C24" s="350"/>
      <c r="D24" s="351">
        <f aca="true" t="shared" si="1" ref="D24:I24">D10+D18+D21+D15</f>
        <v>3314030</v>
      </c>
      <c r="E24" s="352">
        <f t="shared" si="1"/>
        <v>276765</v>
      </c>
      <c r="F24" s="351">
        <f t="shared" si="1"/>
        <v>3590795</v>
      </c>
      <c r="G24" s="351">
        <f t="shared" si="1"/>
        <v>3314030</v>
      </c>
      <c r="H24" s="352">
        <f t="shared" si="1"/>
        <v>276765</v>
      </c>
      <c r="I24" s="351">
        <f t="shared" si="1"/>
        <v>3590795</v>
      </c>
      <c r="J24" s="353"/>
    </row>
    <row r="25" spans="4:10" ht="12.75">
      <c r="D25" s="354"/>
      <c r="E25" s="354"/>
      <c r="F25" s="354"/>
      <c r="G25" s="354"/>
      <c r="H25" s="354"/>
      <c r="I25" s="354"/>
      <c r="J25" s="354"/>
    </row>
    <row r="26" spans="4:10" ht="12.75">
      <c r="D26" s="354"/>
      <c r="E26" s="354"/>
      <c r="F26" s="354"/>
      <c r="G26" s="354"/>
      <c r="H26" s="354"/>
      <c r="I26" s="354"/>
      <c r="J26" s="354"/>
    </row>
    <row r="27" spans="4:8" ht="12.75">
      <c r="D27" s="354"/>
      <c r="E27" s="354"/>
      <c r="F27" s="354"/>
      <c r="G27" s="354"/>
      <c r="H27" s="354"/>
    </row>
    <row r="28" spans="4:8" ht="12.75">
      <c r="D28" s="354"/>
      <c r="E28" s="354"/>
      <c r="F28" s="354"/>
      <c r="G28" s="354"/>
      <c r="H28" s="354"/>
    </row>
    <row r="30" ht="12.75">
      <c r="D30" s="354"/>
    </row>
    <row r="31" ht="12.75">
      <c r="D31" s="354"/>
    </row>
    <row r="32" ht="12.75">
      <c r="D32" s="354"/>
    </row>
  </sheetData>
  <sheetProtection/>
  <mergeCells count="25">
    <mergeCell ref="J2:J3"/>
    <mergeCell ref="B3:I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H10:H13"/>
    <mergeCell ref="I10:I13"/>
    <mergeCell ref="J10:J13"/>
    <mergeCell ref="G15:G16"/>
    <mergeCell ref="H15:H16"/>
    <mergeCell ref="I15:I16"/>
    <mergeCell ref="J15:J16"/>
    <mergeCell ref="H18:H19"/>
    <mergeCell ref="J18:J19"/>
    <mergeCell ref="G21:G23"/>
    <mergeCell ref="H21:H23"/>
    <mergeCell ref="I21:I23"/>
    <mergeCell ref="J21:J23"/>
    <mergeCell ref="I18:I19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1"/>
  <sheetViews>
    <sheetView zoomScale="150" zoomScaleNormal="150" zoomScalePageLayoutView="0" workbookViewId="0" topLeftCell="A25">
      <selection activeCell="A1" sqref="A1:IV16384"/>
    </sheetView>
  </sheetViews>
  <sheetFormatPr defaultColWidth="9.140625" defaultRowHeight="12.75"/>
  <cols>
    <col min="1" max="1" width="2.28125" style="47" customWidth="1"/>
    <col min="2" max="2" width="5.28125" style="47" customWidth="1"/>
    <col min="3" max="3" width="7.28125" style="47" customWidth="1"/>
    <col min="4" max="4" width="4.8515625" style="47" customWidth="1"/>
    <col min="5" max="6" width="20.140625" style="47" customWidth="1"/>
    <col min="7" max="7" width="14.00390625" style="105" customWidth="1"/>
    <col min="8" max="8" width="17.57421875" style="47" customWidth="1"/>
    <col min="9" max="9" width="16.8515625" style="380" hidden="1" customWidth="1"/>
    <col min="10" max="10" width="18.421875" style="47" hidden="1" customWidth="1"/>
    <col min="11" max="11" width="47.57421875" style="106" customWidth="1"/>
    <col min="12" max="16384" width="9.140625" style="47" customWidth="1"/>
  </cols>
  <sheetData>
    <row r="1" spans="2:12" ht="24.75" customHeight="1">
      <c r="B1" s="44" t="s">
        <v>240</v>
      </c>
      <c r="C1" s="45"/>
      <c r="D1" s="46"/>
      <c r="F1" s="48"/>
      <c r="G1" s="49"/>
      <c r="H1" s="48"/>
      <c r="I1" s="355"/>
      <c r="J1" s="48"/>
      <c r="K1" s="405" t="s">
        <v>404</v>
      </c>
      <c r="L1" s="225"/>
    </row>
    <row r="2" spans="2:12" ht="6" customHeight="1">
      <c r="B2" s="44"/>
      <c r="C2" s="45"/>
      <c r="D2" s="46"/>
      <c r="F2" s="48"/>
      <c r="G2" s="49"/>
      <c r="H2" s="48"/>
      <c r="I2" s="355"/>
      <c r="J2" s="48"/>
      <c r="K2" s="405"/>
      <c r="L2" s="225"/>
    </row>
    <row r="3" spans="2:11" s="50" customFormat="1" ht="15.75" customHeight="1">
      <c r="B3" s="413" t="s">
        <v>21</v>
      </c>
      <c r="C3" s="413" t="s">
        <v>42</v>
      </c>
      <c r="D3" s="413" t="s">
        <v>23</v>
      </c>
      <c r="E3" s="413" t="s">
        <v>24</v>
      </c>
      <c r="F3" s="413" t="s">
        <v>241</v>
      </c>
      <c r="G3" s="414" t="s">
        <v>25</v>
      </c>
      <c r="H3" s="413" t="s">
        <v>242</v>
      </c>
      <c r="I3" s="415" t="s">
        <v>405</v>
      </c>
      <c r="J3" s="417" t="s">
        <v>406</v>
      </c>
      <c r="K3" s="419"/>
    </row>
    <row r="4" spans="2:11" s="51" customFormat="1" ht="23.25" customHeight="1">
      <c r="B4" s="413"/>
      <c r="C4" s="413"/>
      <c r="D4" s="413"/>
      <c r="E4" s="413"/>
      <c r="F4" s="413"/>
      <c r="G4" s="414"/>
      <c r="H4" s="413"/>
      <c r="I4" s="416"/>
      <c r="J4" s="418"/>
      <c r="K4" s="420"/>
    </row>
    <row r="5" spans="2:11" ht="12.75">
      <c r="B5" s="52"/>
      <c r="C5" s="52"/>
      <c r="D5" s="52"/>
      <c r="E5" s="52"/>
      <c r="F5" s="52"/>
      <c r="G5" s="53"/>
      <c r="H5" s="52"/>
      <c r="I5" s="356"/>
      <c r="J5" s="52"/>
      <c r="K5" s="54"/>
    </row>
    <row r="6" spans="2:11" ht="51" customHeight="1" hidden="1">
      <c r="B6" s="52"/>
      <c r="C6" s="52"/>
      <c r="D6" s="52"/>
      <c r="E6" s="52"/>
      <c r="F6" s="55" t="s">
        <v>86</v>
      </c>
      <c r="G6" s="56"/>
      <c r="H6" s="55"/>
      <c r="I6" s="357"/>
      <c r="J6" s="55"/>
      <c r="K6" s="54"/>
    </row>
    <row r="7" spans="2:11" ht="12.75">
      <c r="B7" s="57" t="s">
        <v>43</v>
      </c>
      <c r="C7" s="23"/>
      <c r="D7" s="23"/>
      <c r="E7" s="24" t="s">
        <v>44</v>
      </c>
      <c r="F7" s="58">
        <f>F8</f>
        <v>865700</v>
      </c>
      <c r="G7" s="227">
        <f>G8</f>
        <v>-20000</v>
      </c>
      <c r="H7" s="58">
        <f>H8</f>
        <v>845700</v>
      </c>
      <c r="I7" s="358">
        <f>I8</f>
        <v>415705.20999999996</v>
      </c>
      <c r="J7" s="58">
        <f>J8</f>
        <v>429994.79</v>
      </c>
      <c r="K7" s="59"/>
    </row>
    <row r="8" spans="2:11" s="50" customFormat="1" ht="38.25">
      <c r="B8" s="15"/>
      <c r="C8" s="26" t="s">
        <v>48</v>
      </c>
      <c r="D8" s="15"/>
      <c r="E8" s="18" t="s">
        <v>49</v>
      </c>
      <c r="F8" s="60">
        <f>SUM(F9:F9)</f>
        <v>865700</v>
      </c>
      <c r="G8" s="137">
        <f>SUM(G9:G9)</f>
        <v>-20000</v>
      </c>
      <c r="H8" s="60">
        <f>SUM(H9:H9)</f>
        <v>845700</v>
      </c>
      <c r="I8" s="359">
        <f>SUM(I9:I9)</f>
        <v>415705.20999999996</v>
      </c>
      <c r="J8" s="60">
        <f>SUM(J9:J9)</f>
        <v>429994.79</v>
      </c>
      <c r="K8" s="62"/>
    </row>
    <row r="9" spans="2:11" s="50" customFormat="1" ht="25.5">
      <c r="B9" s="28"/>
      <c r="C9" s="63"/>
      <c r="D9" s="29">
        <v>6050</v>
      </c>
      <c r="E9" s="29" t="s">
        <v>50</v>
      </c>
      <c r="F9" s="64">
        <f>SUM(F10:F16)</f>
        <v>865700</v>
      </c>
      <c r="G9" s="360">
        <f>SUM(G10:G16)</f>
        <v>-20000</v>
      </c>
      <c r="H9" s="64">
        <f>SUM(H10:H16)</f>
        <v>845700</v>
      </c>
      <c r="I9" s="361">
        <f>SUM(I10:I16)</f>
        <v>415705.20999999996</v>
      </c>
      <c r="J9" s="64">
        <f>SUM(J10:J16)</f>
        <v>429994.79</v>
      </c>
      <c r="K9" s="62"/>
    </row>
    <row r="10" spans="2:11" s="50" customFormat="1" ht="12.75">
      <c r="B10" s="28"/>
      <c r="C10" s="63"/>
      <c r="D10" s="29"/>
      <c r="E10" s="29"/>
      <c r="F10" s="66">
        <v>25000</v>
      </c>
      <c r="G10" s="68"/>
      <c r="H10" s="66">
        <f aca="true" t="shared" si="0" ref="H10:H16">F10+G10</f>
        <v>25000</v>
      </c>
      <c r="I10" s="362"/>
      <c r="J10" s="138">
        <f>H10-I10</f>
        <v>25000</v>
      </c>
      <c r="K10" s="67" t="s">
        <v>87</v>
      </c>
    </row>
    <row r="11" spans="2:11" s="50" customFormat="1" ht="12.75">
      <c r="B11" s="28"/>
      <c r="C11" s="63"/>
      <c r="D11" s="29"/>
      <c r="E11" s="29"/>
      <c r="F11" s="66">
        <v>15000</v>
      </c>
      <c r="G11" s="68"/>
      <c r="H11" s="66">
        <f t="shared" si="0"/>
        <v>15000</v>
      </c>
      <c r="I11" s="362"/>
      <c r="J11" s="138">
        <f aca="true" t="shared" si="1" ref="J11:J16">H11-I11</f>
        <v>15000</v>
      </c>
      <c r="K11" s="67" t="s">
        <v>243</v>
      </c>
    </row>
    <row r="12" spans="2:11" s="50" customFormat="1" ht="24">
      <c r="B12" s="28"/>
      <c r="C12" s="63"/>
      <c r="D12" s="29"/>
      <c r="E12" s="29"/>
      <c r="F12" s="66">
        <v>155000</v>
      </c>
      <c r="G12" s="68"/>
      <c r="H12" s="66">
        <f t="shared" si="0"/>
        <v>155000</v>
      </c>
      <c r="I12" s="362">
        <v>70000</v>
      </c>
      <c r="J12" s="138">
        <f t="shared" si="1"/>
        <v>85000</v>
      </c>
      <c r="K12" s="67" t="s">
        <v>244</v>
      </c>
    </row>
    <row r="13" spans="2:11" s="50" customFormat="1" ht="12.75">
      <c r="B13" s="28"/>
      <c r="C13" s="63"/>
      <c r="D13" s="29"/>
      <c r="E13" s="29"/>
      <c r="F13" s="66">
        <v>20000</v>
      </c>
      <c r="G13" s="138">
        <v>-20000</v>
      </c>
      <c r="H13" s="66">
        <f t="shared" si="0"/>
        <v>0</v>
      </c>
      <c r="I13" s="362"/>
      <c r="J13" s="66">
        <f t="shared" si="1"/>
        <v>0</v>
      </c>
      <c r="K13" s="67" t="s">
        <v>262</v>
      </c>
    </row>
    <row r="14" spans="2:11" s="50" customFormat="1" ht="12.75">
      <c r="B14" s="28"/>
      <c r="C14" s="63"/>
      <c r="D14" s="29"/>
      <c r="E14" s="29"/>
      <c r="F14" s="66">
        <v>205000</v>
      </c>
      <c r="G14" s="68"/>
      <c r="H14" s="66">
        <f t="shared" si="0"/>
        <v>205000</v>
      </c>
      <c r="I14" s="362">
        <v>204674.3</v>
      </c>
      <c r="J14" s="66">
        <f t="shared" si="1"/>
        <v>325.70000000001164</v>
      </c>
      <c r="K14" s="67" t="s">
        <v>88</v>
      </c>
    </row>
    <row r="15" spans="2:11" s="50" customFormat="1" ht="24">
      <c r="B15" s="28"/>
      <c r="C15" s="63"/>
      <c r="D15" s="29"/>
      <c r="E15" s="29"/>
      <c r="F15" s="66">
        <v>425700</v>
      </c>
      <c r="G15" s="138"/>
      <c r="H15" s="66">
        <f t="shared" si="0"/>
        <v>425700</v>
      </c>
      <c r="I15" s="362">
        <v>141030.91</v>
      </c>
      <c r="J15" s="66">
        <f t="shared" si="1"/>
        <v>284669.08999999997</v>
      </c>
      <c r="K15" s="67" t="s">
        <v>263</v>
      </c>
    </row>
    <row r="16" spans="2:11" s="50" customFormat="1" ht="12.75">
      <c r="B16" s="28"/>
      <c r="C16" s="63"/>
      <c r="D16" s="29"/>
      <c r="E16" s="29"/>
      <c r="F16" s="66">
        <v>20000</v>
      </c>
      <c r="G16" s="138"/>
      <c r="H16" s="66">
        <f t="shared" si="0"/>
        <v>20000</v>
      </c>
      <c r="I16" s="362"/>
      <c r="J16" s="138">
        <f t="shared" si="1"/>
        <v>20000</v>
      </c>
      <c r="K16" s="67" t="s">
        <v>245</v>
      </c>
    </row>
    <row r="17" spans="2:11" s="50" customFormat="1" ht="12.75">
      <c r="B17" s="32">
        <v>600</v>
      </c>
      <c r="C17" s="32"/>
      <c r="D17" s="32"/>
      <c r="E17" s="33" t="s">
        <v>53</v>
      </c>
      <c r="F17" s="69">
        <f>F20+F18</f>
        <v>1204000</v>
      </c>
      <c r="G17" s="309">
        <f>G20+G18</f>
        <v>-15200</v>
      </c>
      <c r="H17" s="69">
        <f>H20+H18</f>
        <v>1188800</v>
      </c>
      <c r="I17" s="363">
        <f>I20+I18</f>
        <v>724556.07</v>
      </c>
      <c r="J17" s="69">
        <f>J20+J18</f>
        <v>464243.93000000005</v>
      </c>
      <c r="K17" s="71"/>
    </row>
    <row r="18" spans="2:11" s="73" customFormat="1" ht="25.5">
      <c r="B18" s="37"/>
      <c r="C18" s="15">
        <v>60014</v>
      </c>
      <c r="D18" s="15"/>
      <c r="E18" s="18" t="s">
        <v>54</v>
      </c>
      <c r="F18" s="39">
        <f>F19</f>
        <v>136000</v>
      </c>
      <c r="G18" s="40">
        <f>G19</f>
        <v>0</v>
      </c>
      <c r="H18" s="39">
        <f>H19</f>
        <v>136000</v>
      </c>
      <c r="I18" s="364">
        <f>I19</f>
        <v>114556</v>
      </c>
      <c r="J18" s="39">
        <f>J19</f>
        <v>21444</v>
      </c>
      <c r="K18" s="72"/>
    </row>
    <row r="19" spans="2:11" s="73" customFormat="1" ht="80.25" customHeight="1">
      <c r="B19" s="37"/>
      <c r="C19" s="15"/>
      <c r="D19" s="28">
        <v>6300</v>
      </c>
      <c r="E19" s="29" t="s">
        <v>56</v>
      </c>
      <c r="F19" s="38">
        <v>136000</v>
      </c>
      <c r="G19" s="310"/>
      <c r="H19" s="66">
        <f>F19+G19</f>
        <v>136000</v>
      </c>
      <c r="I19" s="362">
        <v>114556</v>
      </c>
      <c r="J19" s="66">
        <f>H19-I19</f>
        <v>21444</v>
      </c>
      <c r="K19" s="74" t="s">
        <v>407</v>
      </c>
    </row>
    <row r="20" spans="2:11" s="50" customFormat="1" ht="12.75">
      <c r="B20" s="15"/>
      <c r="C20" s="15">
        <v>60016</v>
      </c>
      <c r="D20" s="15"/>
      <c r="E20" s="18" t="s">
        <v>57</v>
      </c>
      <c r="F20" s="60">
        <f>SUM(F21:F21)</f>
        <v>1068000</v>
      </c>
      <c r="G20" s="137">
        <f>SUM(G21:G21)</f>
        <v>-15200</v>
      </c>
      <c r="H20" s="60">
        <f>SUM(H21:H21)</f>
        <v>1052800</v>
      </c>
      <c r="I20" s="359">
        <f>SUM(I21:I21)</f>
        <v>610000.07</v>
      </c>
      <c r="J20" s="60">
        <f>SUM(J21:J21)</f>
        <v>442799.93000000005</v>
      </c>
      <c r="K20" s="421"/>
    </row>
    <row r="21" spans="2:11" s="50" customFormat="1" ht="25.5">
      <c r="B21" s="28"/>
      <c r="C21" s="27"/>
      <c r="D21" s="28">
        <v>6050</v>
      </c>
      <c r="E21" s="29" t="s">
        <v>50</v>
      </c>
      <c r="F21" s="64">
        <f>SUM(F22:F25)</f>
        <v>1068000</v>
      </c>
      <c r="G21" s="360">
        <f>SUM(G22:G25)</f>
        <v>-15200</v>
      </c>
      <c r="H21" s="64">
        <f>SUM(H22:H25)</f>
        <v>1052800</v>
      </c>
      <c r="I21" s="361">
        <f>SUM(I22:I25)</f>
        <v>610000.07</v>
      </c>
      <c r="J21" s="64">
        <f>SUM(J22:J25)</f>
        <v>442799.93000000005</v>
      </c>
      <c r="K21" s="421"/>
    </row>
    <row r="22" spans="2:11" s="50" customFormat="1" ht="24">
      <c r="B22" s="28"/>
      <c r="C22" s="27"/>
      <c r="D22" s="28"/>
      <c r="E22" s="29"/>
      <c r="F22" s="66">
        <v>440000</v>
      </c>
      <c r="G22" s="138">
        <v>-3042</v>
      </c>
      <c r="H22" s="66">
        <f>F22+G22</f>
        <v>436958</v>
      </c>
      <c r="I22" s="362">
        <v>436957.81</v>
      </c>
      <c r="J22" s="66">
        <f>H22-I22</f>
        <v>0.1900000000023283</v>
      </c>
      <c r="K22" s="67" t="s">
        <v>246</v>
      </c>
    </row>
    <row r="23" spans="2:11" s="50" customFormat="1" ht="12.75">
      <c r="B23" s="28"/>
      <c r="C23" s="27"/>
      <c r="D23" s="28"/>
      <c r="E23" s="29"/>
      <c r="F23" s="66">
        <v>30000</v>
      </c>
      <c r="G23" s="138"/>
      <c r="H23" s="66">
        <f>F23+G23</f>
        <v>30000</v>
      </c>
      <c r="I23" s="362"/>
      <c r="J23" s="66">
        <f>H23-I23</f>
        <v>30000</v>
      </c>
      <c r="K23" s="305" t="s">
        <v>408</v>
      </c>
    </row>
    <row r="24" spans="2:11" s="50" customFormat="1" ht="24">
      <c r="B24" s="28"/>
      <c r="C24" s="28"/>
      <c r="D24" s="28"/>
      <c r="E24" s="29"/>
      <c r="F24" s="66">
        <v>168000</v>
      </c>
      <c r="G24" s="138">
        <v>-12158</v>
      </c>
      <c r="H24" s="66">
        <f>F24+G24</f>
        <v>155842</v>
      </c>
      <c r="I24" s="362">
        <v>155841.15</v>
      </c>
      <c r="J24" s="66">
        <f>H24-I24</f>
        <v>0.8500000000058208</v>
      </c>
      <c r="K24" s="226" t="s">
        <v>409</v>
      </c>
    </row>
    <row r="25" spans="2:11" s="50" customFormat="1" ht="12.75">
      <c r="B25" s="28"/>
      <c r="C25" s="27"/>
      <c r="D25" s="28"/>
      <c r="E25" s="29"/>
      <c r="F25" s="66">
        <v>430000</v>
      </c>
      <c r="G25" s="68"/>
      <c r="H25" s="66">
        <f>F25+G25</f>
        <v>430000</v>
      </c>
      <c r="I25" s="362">
        <v>17201.11</v>
      </c>
      <c r="J25" s="66">
        <f>H25-I25</f>
        <v>412798.89</v>
      </c>
      <c r="K25" s="67" t="s">
        <v>166</v>
      </c>
    </row>
    <row r="26" spans="2:11" s="50" customFormat="1" ht="25.5">
      <c r="B26" s="75">
        <v>700</v>
      </c>
      <c r="C26" s="75"/>
      <c r="D26" s="75"/>
      <c r="E26" s="76" t="s">
        <v>27</v>
      </c>
      <c r="F26" s="77">
        <f>F32+F27</f>
        <v>1099308</v>
      </c>
      <c r="G26" s="365">
        <f>G32+G27</f>
        <v>-65772</v>
      </c>
      <c r="H26" s="77">
        <f>H32+H27</f>
        <v>1033536</v>
      </c>
      <c r="I26" s="366">
        <f>I32+I27</f>
        <v>742100.79</v>
      </c>
      <c r="J26" s="77">
        <f>J32+J27</f>
        <v>291435.20999999996</v>
      </c>
      <c r="K26" s="78"/>
    </row>
    <row r="27" spans="2:11" s="142" customFormat="1" ht="38.25">
      <c r="B27" s="37"/>
      <c r="C27" s="15">
        <v>70004</v>
      </c>
      <c r="D27" s="15"/>
      <c r="E27" s="18" t="s">
        <v>58</v>
      </c>
      <c r="F27" s="39">
        <f>F28</f>
        <v>183000</v>
      </c>
      <c r="G27" s="301">
        <f>G28</f>
        <v>-22225</v>
      </c>
      <c r="H27" s="39">
        <f>H28</f>
        <v>160775</v>
      </c>
      <c r="I27" s="364">
        <f>I28</f>
        <v>160774.08000000002</v>
      </c>
      <c r="J27" s="39">
        <f>J28</f>
        <v>0.9199999999982538</v>
      </c>
      <c r="K27" s="72"/>
    </row>
    <row r="28" spans="2:11" s="48" customFormat="1" ht="80.25" customHeight="1">
      <c r="B28" s="79"/>
      <c r="C28" s="79"/>
      <c r="D28" s="80">
        <v>6210</v>
      </c>
      <c r="E28" s="81" t="s">
        <v>60</v>
      </c>
      <c r="F28" s="143">
        <f>SUM(F29:F31)</f>
        <v>183000</v>
      </c>
      <c r="G28" s="367">
        <f>SUM(G29:G31)</f>
        <v>-22225</v>
      </c>
      <c r="H28" s="143">
        <f>SUM(H29:H31)</f>
        <v>160775</v>
      </c>
      <c r="I28" s="368">
        <f>SUM(I29:I31)</f>
        <v>160774.08000000002</v>
      </c>
      <c r="J28" s="143">
        <f>SUM(J29:J31)</f>
        <v>0.9199999999982538</v>
      </c>
      <c r="K28" s="89">
        <f>F28-H28</f>
        <v>22225</v>
      </c>
    </row>
    <row r="29" spans="2:11" s="48" customFormat="1" ht="29.25" customHeight="1">
      <c r="B29" s="79"/>
      <c r="C29" s="79"/>
      <c r="D29" s="80"/>
      <c r="E29" s="81"/>
      <c r="F29" s="82">
        <v>123096</v>
      </c>
      <c r="G29" s="311"/>
      <c r="H29" s="66">
        <f>F29+G29</f>
        <v>123096</v>
      </c>
      <c r="I29" s="362">
        <v>123096</v>
      </c>
      <c r="J29" s="66">
        <f>H29-I29</f>
        <v>0</v>
      </c>
      <c r="K29" s="74" t="s">
        <v>264</v>
      </c>
    </row>
    <row r="30" spans="2:11" s="48" customFormat="1" ht="29.25" customHeight="1">
      <c r="B30" s="79"/>
      <c r="C30" s="79"/>
      <c r="D30" s="80"/>
      <c r="E30" s="81"/>
      <c r="F30" s="82">
        <v>37678</v>
      </c>
      <c r="G30" s="83">
        <v>1</v>
      </c>
      <c r="H30" s="66">
        <f>F30+G30</f>
        <v>37679</v>
      </c>
      <c r="I30" s="362">
        <v>37678.08</v>
      </c>
      <c r="J30" s="66">
        <f>H30-I30</f>
        <v>0.9199999999982538</v>
      </c>
      <c r="K30" s="74" t="s">
        <v>342</v>
      </c>
    </row>
    <row r="31" spans="2:11" s="48" customFormat="1" ht="29.25" customHeight="1">
      <c r="B31" s="79"/>
      <c r="C31" s="79"/>
      <c r="D31" s="80"/>
      <c r="E31" s="81"/>
      <c r="F31" s="82">
        <v>22226</v>
      </c>
      <c r="G31" s="311">
        <v>-22226</v>
      </c>
      <c r="H31" s="66">
        <f>F31+G31</f>
        <v>0</v>
      </c>
      <c r="I31" s="362"/>
      <c r="J31" s="66">
        <f>H31-I31</f>
        <v>0</v>
      </c>
      <c r="K31" s="74" t="s">
        <v>410</v>
      </c>
    </row>
    <row r="32" spans="2:11" s="85" customFormat="1" ht="29.25" customHeight="1">
      <c r="B32" s="37"/>
      <c r="C32" s="15">
        <v>70005</v>
      </c>
      <c r="D32" s="15"/>
      <c r="E32" s="18" t="s">
        <v>28</v>
      </c>
      <c r="F32" s="60">
        <f>F33+F37</f>
        <v>916308</v>
      </c>
      <c r="G32" s="137">
        <f>G33+G37</f>
        <v>-43547</v>
      </c>
      <c r="H32" s="60">
        <f>H33+H37</f>
        <v>872761</v>
      </c>
      <c r="I32" s="359">
        <f>I33+I37</f>
        <v>581326.7100000001</v>
      </c>
      <c r="J32" s="60">
        <f>J33+J37</f>
        <v>291434.29</v>
      </c>
      <c r="K32" s="84"/>
    </row>
    <row r="33" spans="2:11" s="85" customFormat="1" ht="25.5">
      <c r="B33" s="37"/>
      <c r="C33" s="37"/>
      <c r="D33" s="28">
        <v>6050</v>
      </c>
      <c r="E33" s="29" t="s">
        <v>50</v>
      </c>
      <c r="F33" s="39">
        <f>SUM(F34:F36)</f>
        <v>280000</v>
      </c>
      <c r="G33" s="301">
        <f>SUM(G34:G36)</f>
        <v>-100000</v>
      </c>
      <c r="H33" s="39">
        <f>SUM(H34:H36)</f>
        <v>180000</v>
      </c>
      <c r="I33" s="364">
        <f>SUM(I34:I36)</f>
        <v>4308.68</v>
      </c>
      <c r="J33" s="39">
        <f>SUM(J34:J36)</f>
        <v>175691.32</v>
      </c>
      <c r="K33" s="86"/>
    </row>
    <row r="34" spans="2:11" s="85" customFormat="1" ht="12.75">
      <c r="B34" s="37"/>
      <c r="C34" s="37"/>
      <c r="D34" s="28"/>
      <c r="E34" s="29"/>
      <c r="F34" s="38">
        <v>90000</v>
      </c>
      <c r="G34" s="175"/>
      <c r="H34" s="66">
        <f>F34+G34</f>
        <v>90000</v>
      </c>
      <c r="I34" s="362">
        <v>4308.68</v>
      </c>
      <c r="J34" s="66">
        <f aca="true" t="shared" si="2" ref="J34:J39">H34-I34</f>
        <v>85691.32</v>
      </c>
      <c r="K34" s="86" t="s">
        <v>265</v>
      </c>
    </row>
    <row r="35" spans="2:11" s="85" customFormat="1" ht="12.75">
      <c r="B35" s="37"/>
      <c r="C35" s="37"/>
      <c r="D35" s="28"/>
      <c r="E35" s="29"/>
      <c r="F35" s="38">
        <v>90000</v>
      </c>
      <c r="G35" s="175">
        <v>-60000</v>
      </c>
      <c r="H35" s="66">
        <f>F35+G35</f>
        <v>30000</v>
      </c>
      <c r="I35" s="362"/>
      <c r="J35" s="66">
        <f t="shared" si="2"/>
        <v>30000</v>
      </c>
      <c r="K35" s="86" t="s">
        <v>247</v>
      </c>
    </row>
    <row r="36" spans="2:11" s="85" customFormat="1" ht="12.75">
      <c r="B36" s="37"/>
      <c r="C36" s="37"/>
      <c r="D36" s="28"/>
      <c r="E36" s="29"/>
      <c r="F36" s="38">
        <v>100000</v>
      </c>
      <c r="G36" s="175">
        <v>-40000</v>
      </c>
      <c r="H36" s="66">
        <f>F36+G36</f>
        <v>60000</v>
      </c>
      <c r="I36" s="362"/>
      <c r="J36" s="66">
        <f t="shared" si="2"/>
        <v>60000</v>
      </c>
      <c r="K36" s="86" t="s">
        <v>248</v>
      </c>
    </row>
    <row r="37" spans="2:11" s="85" customFormat="1" ht="38.25">
      <c r="B37" s="37"/>
      <c r="C37" s="37"/>
      <c r="D37" s="28">
        <v>6060</v>
      </c>
      <c r="E37" s="29" t="s">
        <v>61</v>
      </c>
      <c r="F37" s="39">
        <f>SUM(F38:F39)</f>
        <v>636308</v>
      </c>
      <c r="G37" s="369">
        <f>SUM(G38:G39)</f>
        <v>56453</v>
      </c>
      <c r="H37" s="39">
        <f>SUM(H38:H39)</f>
        <v>692761</v>
      </c>
      <c r="I37" s="364">
        <f>SUM(I38:I39)</f>
        <v>577018.03</v>
      </c>
      <c r="J37" s="39">
        <f>SUM(J38:J39)</f>
        <v>115742.96999999997</v>
      </c>
      <c r="K37" s="86"/>
    </row>
    <row r="38" spans="2:11" s="85" customFormat="1" ht="12.75">
      <c r="B38" s="37"/>
      <c r="C38" s="37"/>
      <c r="D38" s="28"/>
      <c r="E38" s="29"/>
      <c r="F38" s="38">
        <v>95000</v>
      </c>
      <c r="G38" s="175">
        <v>-3547</v>
      </c>
      <c r="H38" s="66">
        <f>F38+G38</f>
        <v>91453</v>
      </c>
      <c r="I38" s="362">
        <v>6405</v>
      </c>
      <c r="J38" s="66">
        <f t="shared" si="2"/>
        <v>85048</v>
      </c>
      <c r="K38" s="86" t="s">
        <v>89</v>
      </c>
    </row>
    <row r="39" spans="2:11" s="85" customFormat="1" ht="12.75">
      <c r="B39" s="37"/>
      <c r="C39" s="37"/>
      <c r="D39" s="28"/>
      <c r="E39" s="29"/>
      <c r="F39" s="38">
        <v>541308</v>
      </c>
      <c r="G39" s="41">
        <f>35000+25000</f>
        <v>60000</v>
      </c>
      <c r="H39" s="66">
        <f>F39+G39</f>
        <v>601308</v>
      </c>
      <c r="I39" s="362">
        <f>561408.63+9204.4</f>
        <v>570613.03</v>
      </c>
      <c r="J39" s="66">
        <f t="shared" si="2"/>
        <v>30694.969999999972</v>
      </c>
      <c r="K39" s="86" t="s">
        <v>90</v>
      </c>
    </row>
    <row r="40" spans="2:11" s="50" customFormat="1" ht="25.5">
      <c r="B40" s="32">
        <v>750</v>
      </c>
      <c r="C40" s="32"/>
      <c r="D40" s="32"/>
      <c r="E40" s="33" t="s">
        <v>31</v>
      </c>
      <c r="F40" s="69">
        <f>F41+F46</f>
        <v>379000</v>
      </c>
      <c r="G40" s="309">
        <f>G41</f>
        <v>-50926</v>
      </c>
      <c r="H40" s="69">
        <f>H41+H46</f>
        <v>328074</v>
      </c>
      <c r="I40" s="363">
        <f>I41+I46</f>
        <v>287017.41000000003</v>
      </c>
      <c r="J40" s="69">
        <f>J41+J46</f>
        <v>41056.590000000004</v>
      </c>
      <c r="K40" s="71"/>
    </row>
    <row r="41" spans="2:11" s="50" customFormat="1" ht="12.75">
      <c r="B41" s="15"/>
      <c r="C41" s="15">
        <v>75023</v>
      </c>
      <c r="D41" s="15"/>
      <c r="E41" s="18" t="s">
        <v>33</v>
      </c>
      <c r="F41" s="60">
        <f>F42+F43</f>
        <v>62000</v>
      </c>
      <c r="G41" s="137">
        <f>G42+G43+G46</f>
        <v>-50926</v>
      </c>
      <c r="H41" s="60">
        <f>H42+H43</f>
        <v>57000</v>
      </c>
      <c r="I41" s="359">
        <f>I42+I43</f>
        <v>46908</v>
      </c>
      <c r="J41" s="60">
        <f>J42+J43</f>
        <v>10092</v>
      </c>
      <c r="K41" s="62"/>
    </row>
    <row r="42" spans="2:11" s="50" customFormat="1" ht="36">
      <c r="B42" s="15"/>
      <c r="C42" s="15"/>
      <c r="D42" s="28">
        <v>6050</v>
      </c>
      <c r="E42" s="29" t="s">
        <v>50</v>
      </c>
      <c r="F42" s="43">
        <v>20000</v>
      </c>
      <c r="G42" s="115">
        <v>-5000</v>
      </c>
      <c r="H42" s="66">
        <f>F42+G42</f>
        <v>15000</v>
      </c>
      <c r="I42" s="362">
        <v>6954</v>
      </c>
      <c r="J42" s="66">
        <f>H42-I42</f>
        <v>8046</v>
      </c>
      <c r="K42" s="74" t="s">
        <v>266</v>
      </c>
    </row>
    <row r="43" spans="2:11" s="50" customFormat="1" ht="38.25" customHeight="1">
      <c r="B43" s="15"/>
      <c r="C43" s="28"/>
      <c r="D43" s="28">
        <v>6060</v>
      </c>
      <c r="E43" s="29" t="s">
        <v>61</v>
      </c>
      <c r="F43" s="60">
        <f>SUM(F44:F45)</f>
        <v>42000</v>
      </c>
      <c r="G43" s="61">
        <f>SUM(G44:G45)</f>
        <v>0</v>
      </c>
      <c r="H43" s="60">
        <f>SUM(H44:H45)</f>
        <v>42000</v>
      </c>
      <c r="I43" s="359">
        <f>SUM(I44:I45)</f>
        <v>39954</v>
      </c>
      <c r="J43" s="60">
        <f>SUM(J44:J45)</f>
        <v>2046</v>
      </c>
      <c r="K43" s="62"/>
    </row>
    <row r="44" spans="2:11" s="50" customFormat="1" ht="12.75">
      <c r="B44" s="15"/>
      <c r="C44" s="28"/>
      <c r="D44" s="28"/>
      <c r="E44" s="29"/>
      <c r="F44" s="43">
        <v>12000</v>
      </c>
      <c r="G44" s="87"/>
      <c r="H44" s="66">
        <f>F44+G44</f>
        <v>12000</v>
      </c>
      <c r="I44" s="362">
        <v>11102</v>
      </c>
      <c r="J44" s="66">
        <f>H44-I44</f>
        <v>898</v>
      </c>
      <c r="K44" s="62" t="s">
        <v>249</v>
      </c>
    </row>
    <row r="45" spans="2:11" s="50" customFormat="1" ht="12.75">
      <c r="B45" s="15"/>
      <c r="C45" s="28"/>
      <c r="D45" s="28"/>
      <c r="E45" s="29"/>
      <c r="F45" s="43">
        <v>30000</v>
      </c>
      <c r="G45" s="87"/>
      <c r="H45" s="66">
        <f>F45+G45</f>
        <v>30000</v>
      </c>
      <c r="I45" s="362">
        <v>28852</v>
      </c>
      <c r="J45" s="66">
        <f>H45-I45</f>
        <v>1148</v>
      </c>
      <c r="K45" s="62" t="s">
        <v>91</v>
      </c>
    </row>
    <row r="46" spans="2:11" s="50" customFormat="1" ht="14.25" customHeight="1">
      <c r="B46" s="15"/>
      <c r="C46" s="15">
        <v>75095</v>
      </c>
      <c r="D46" s="15"/>
      <c r="E46" s="18" t="s">
        <v>40</v>
      </c>
      <c r="F46" s="60">
        <f>F47+F52</f>
        <v>317000</v>
      </c>
      <c r="G46" s="137">
        <f>G47+G52</f>
        <v>-45926</v>
      </c>
      <c r="H46" s="60">
        <f>H47+H52</f>
        <v>271074</v>
      </c>
      <c r="I46" s="359">
        <f>I47+I52</f>
        <v>240109.41000000003</v>
      </c>
      <c r="J46" s="60">
        <f>J47+J52</f>
        <v>30964.590000000004</v>
      </c>
      <c r="K46" s="62"/>
    </row>
    <row r="47" spans="2:11" s="50" customFormat="1" ht="25.5">
      <c r="B47" s="15"/>
      <c r="C47" s="28"/>
      <c r="D47" s="28">
        <v>6050</v>
      </c>
      <c r="E47" s="29" t="s">
        <v>50</v>
      </c>
      <c r="F47" s="60">
        <f>SUM(F48:F51)</f>
        <v>308000</v>
      </c>
      <c r="G47" s="137">
        <f>SUM(G48:G51)</f>
        <v>-45697</v>
      </c>
      <c r="H47" s="60">
        <f>SUM(H48:H51)</f>
        <v>262303</v>
      </c>
      <c r="I47" s="359">
        <f>SUM(I48:I51)</f>
        <v>231339.02000000002</v>
      </c>
      <c r="J47" s="60">
        <f>SUM(J48:J51)</f>
        <v>30963.980000000003</v>
      </c>
      <c r="K47" s="88"/>
    </row>
    <row r="48" spans="2:11" s="50" customFormat="1" ht="12.75">
      <c r="B48" s="15"/>
      <c r="C48" s="28"/>
      <c r="D48" s="28"/>
      <c r="E48" s="29"/>
      <c r="F48" s="43">
        <v>170000</v>
      </c>
      <c r="G48" s="115"/>
      <c r="H48" s="66">
        <f>F48+G48</f>
        <v>170000</v>
      </c>
      <c r="I48" s="362">
        <v>169964.81</v>
      </c>
      <c r="J48" s="66">
        <f aca="true" t="shared" si="3" ref="J48:J53">H48-I48</f>
        <v>35.19000000000233</v>
      </c>
      <c r="K48" s="88" t="s">
        <v>92</v>
      </c>
    </row>
    <row r="49" spans="2:11" s="50" customFormat="1" ht="12.75">
      <c r="B49" s="15"/>
      <c r="C49" s="28"/>
      <c r="D49" s="28"/>
      <c r="E49" s="29"/>
      <c r="F49" s="43">
        <v>30000</v>
      </c>
      <c r="G49" s="115"/>
      <c r="H49" s="66">
        <f>F49+G49</f>
        <v>30000</v>
      </c>
      <c r="I49" s="362"/>
      <c r="J49" s="66">
        <f t="shared" si="3"/>
        <v>30000</v>
      </c>
      <c r="K49" s="62" t="s">
        <v>336</v>
      </c>
    </row>
    <row r="50" spans="2:11" s="50" customFormat="1" ht="24">
      <c r="B50" s="15"/>
      <c r="C50" s="28"/>
      <c r="D50" s="28"/>
      <c r="E50" s="29"/>
      <c r="F50" s="43">
        <v>8000</v>
      </c>
      <c r="G50" s="115"/>
      <c r="H50" s="66">
        <f>F50+G50</f>
        <v>8000</v>
      </c>
      <c r="I50" s="362">
        <v>7072.01</v>
      </c>
      <c r="J50" s="66">
        <f t="shared" si="3"/>
        <v>927.9899999999998</v>
      </c>
      <c r="K50" s="62" t="s">
        <v>411</v>
      </c>
    </row>
    <row r="51" spans="2:11" s="50" customFormat="1" ht="12.75">
      <c r="B51" s="15"/>
      <c r="C51" s="28"/>
      <c r="D51" s="28"/>
      <c r="E51" s="29"/>
      <c r="F51" s="43">
        <v>100000</v>
      </c>
      <c r="G51" s="115">
        <v>-45697</v>
      </c>
      <c r="H51" s="66">
        <f>F51+G51</f>
        <v>54303</v>
      </c>
      <c r="I51" s="362">
        <v>54302.2</v>
      </c>
      <c r="J51" s="66">
        <f t="shared" si="3"/>
        <v>0.8000000000029104</v>
      </c>
      <c r="K51" s="88" t="s">
        <v>250</v>
      </c>
    </row>
    <row r="52" spans="2:11" s="50" customFormat="1" ht="38.25">
      <c r="B52" s="15"/>
      <c r="C52" s="28"/>
      <c r="D52" s="28">
        <v>6060</v>
      </c>
      <c r="E52" s="29" t="s">
        <v>61</v>
      </c>
      <c r="F52" s="60">
        <f>SUM(F53:F54)</f>
        <v>9000</v>
      </c>
      <c r="G52" s="137">
        <f>SUM(G53:G54)</f>
        <v>-229</v>
      </c>
      <c r="H52" s="60">
        <f>SUM(H53:H54)</f>
        <v>8771</v>
      </c>
      <c r="I52" s="359">
        <f>SUM(I53:I54)</f>
        <v>8770.39</v>
      </c>
      <c r="J52" s="60">
        <f>SUM(J53:J54)</f>
        <v>0.6100000000005821</v>
      </c>
      <c r="K52" s="88"/>
    </row>
    <row r="53" spans="2:11" s="50" customFormat="1" ht="12.75">
      <c r="B53" s="15"/>
      <c r="C53" s="28"/>
      <c r="D53" s="28"/>
      <c r="E53" s="29"/>
      <c r="F53" s="43">
        <v>9000</v>
      </c>
      <c r="G53" s="115">
        <v>-229</v>
      </c>
      <c r="H53" s="66">
        <f>F53+G53</f>
        <v>8771</v>
      </c>
      <c r="I53" s="362">
        <v>8770.39</v>
      </c>
      <c r="J53" s="66">
        <f t="shared" si="3"/>
        <v>0.6100000000005821</v>
      </c>
      <c r="K53" s="88" t="s">
        <v>251</v>
      </c>
    </row>
    <row r="54" spans="2:11" s="50" customFormat="1" ht="12.75" hidden="1">
      <c r="B54" s="15"/>
      <c r="C54" s="28"/>
      <c r="D54" s="28"/>
      <c r="E54" s="29"/>
      <c r="F54" s="43"/>
      <c r="G54" s="87"/>
      <c r="H54" s="66">
        <f>F54+G54</f>
        <v>0</v>
      </c>
      <c r="I54" s="362">
        <f>G54+H54</f>
        <v>0</v>
      </c>
      <c r="J54" s="66">
        <f>H54+I54</f>
        <v>0</v>
      </c>
      <c r="K54" s="88" t="s">
        <v>167</v>
      </c>
    </row>
    <row r="55" spans="2:11" s="50" customFormat="1" ht="38.25">
      <c r="B55" s="32">
        <v>754</v>
      </c>
      <c r="C55" s="32"/>
      <c r="D55" s="32"/>
      <c r="E55" s="33" t="s">
        <v>78</v>
      </c>
      <c r="F55" s="69">
        <f>F56</f>
        <v>63771</v>
      </c>
      <c r="G55" s="70">
        <f>G56</f>
        <v>2480</v>
      </c>
      <c r="H55" s="69">
        <f>H56</f>
        <v>66251</v>
      </c>
      <c r="I55" s="363">
        <f>I56</f>
        <v>32735.93</v>
      </c>
      <c r="J55" s="69">
        <f>J56</f>
        <v>33515.07</v>
      </c>
      <c r="K55" s="71"/>
    </row>
    <row r="56" spans="2:11" s="50" customFormat="1" ht="25.5">
      <c r="B56" s="15"/>
      <c r="C56" s="15">
        <v>75412</v>
      </c>
      <c r="D56" s="15"/>
      <c r="E56" s="18" t="s">
        <v>79</v>
      </c>
      <c r="F56" s="60">
        <f>F57+F58</f>
        <v>63771</v>
      </c>
      <c r="G56" s="61">
        <f>G57+G58</f>
        <v>2480</v>
      </c>
      <c r="H56" s="60">
        <f>H57+H58</f>
        <v>66251</v>
      </c>
      <c r="I56" s="359">
        <f>I57+I58</f>
        <v>32735.93</v>
      </c>
      <c r="J56" s="60">
        <f>J57+J58</f>
        <v>33515.07</v>
      </c>
      <c r="K56" s="62"/>
    </row>
    <row r="57" spans="2:11" s="50" customFormat="1" ht="38.25">
      <c r="B57" s="15"/>
      <c r="C57" s="15"/>
      <c r="D57" s="28">
        <v>6060</v>
      </c>
      <c r="E57" s="29" t="s">
        <v>61</v>
      </c>
      <c r="F57" s="60">
        <v>7771</v>
      </c>
      <c r="G57" s="87"/>
      <c r="H57" s="43">
        <f>F57+G57</f>
        <v>7771</v>
      </c>
      <c r="I57" s="370">
        <v>7770.18</v>
      </c>
      <c r="J57" s="66">
        <f>H57-I57</f>
        <v>0.819999999999709</v>
      </c>
      <c r="K57" s="218" t="s">
        <v>412</v>
      </c>
    </row>
    <row r="58" spans="2:11" s="50" customFormat="1" ht="63.75" customHeight="1">
      <c r="B58" s="15"/>
      <c r="C58" s="15"/>
      <c r="D58" s="28">
        <v>6230</v>
      </c>
      <c r="E58" s="29" t="s">
        <v>80</v>
      </c>
      <c r="F58" s="60">
        <f>SUM(F59:F60)</f>
        <v>56000</v>
      </c>
      <c r="G58" s="61">
        <f>SUM(G59:G60)</f>
        <v>2480</v>
      </c>
      <c r="H58" s="60">
        <f>SUM(H59:H60)</f>
        <v>58480</v>
      </c>
      <c r="I58" s="359">
        <f>SUM(I59:I60)</f>
        <v>24965.75</v>
      </c>
      <c r="J58" s="60">
        <f>SUM(J59:J60)</f>
        <v>33514.25</v>
      </c>
      <c r="K58" s="62" t="s">
        <v>93</v>
      </c>
    </row>
    <row r="59" spans="2:11" s="50" customFormat="1" ht="24">
      <c r="B59" s="15"/>
      <c r="C59" s="15"/>
      <c r="D59" s="28"/>
      <c r="E59" s="29"/>
      <c r="F59" s="43">
        <v>26000</v>
      </c>
      <c r="G59" s="115">
        <v>-1034</v>
      </c>
      <c r="H59" s="43">
        <f>F59+G59</f>
        <v>24966</v>
      </c>
      <c r="I59" s="370">
        <v>24965.75</v>
      </c>
      <c r="J59" s="66">
        <f>H59-I59</f>
        <v>0.25</v>
      </c>
      <c r="K59" s="62" t="s">
        <v>93</v>
      </c>
    </row>
    <row r="60" spans="2:11" s="50" customFormat="1" ht="36">
      <c r="B60" s="15"/>
      <c r="C60" s="15"/>
      <c r="D60" s="28"/>
      <c r="E60" s="29"/>
      <c r="F60" s="43">
        <v>30000</v>
      </c>
      <c r="G60" s="87">
        <f>2480+1034</f>
        <v>3514</v>
      </c>
      <c r="H60" s="43">
        <f>F60+G60</f>
        <v>33514</v>
      </c>
      <c r="I60" s="370"/>
      <c r="J60" s="66">
        <f>H60-I60</f>
        <v>33514</v>
      </c>
      <c r="K60" s="62" t="s">
        <v>413</v>
      </c>
    </row>
    <row r="61" spans="2:11" s="50" customFormat="1" ht="12.75">
      <c r="B61" s="32">
        <v>801</v>
      </c>
      <c r="C61" s="32"/>
      <c r="D61" s="32"/>
      <c r="E61" s="33" t="s">
        <v>35</v>
      </c>
      <c r="F61" s="69">
        <f>F69+F77+F62+F85+F87+F67</f>
        <v>160741</v>
      </c>
      <c r="G61" s="70">
        <f>G69+G77+G62+G85+G87+G67</f>
        <v>5900</v>
      </c>
      <c r="H61" s="69">
        <f>H69+H77+H62+H85+H87+H67</f>
        <v>166641</v>
      </c>
      <c r="I61" s="363">
        <f>I69+I77+I62+I85+I87+I67</f>
        <v>46333</v>
      </c>
      <c r="J61" s="69">
        <f>J69+J77+J62+J85+J87+J67</f>
        <v>120308</v>
      </c>
      <c r="K61" s="71"/>
    </row>
    <row r="62" spans="2:11" s="73" customFormat="1" ht="12.75">
      <c r="B62" s="37"/>
      <c r="C62" s="15">
        <v>80101</v>
      </c>
      <c r="D62" s="15"/>
      <c r="E62" s="18" t="s">
        <v>36</v>
      </c>
      <c r="F62" s="39">
        <f>F63+F64</f>
        <v>24997</v>
      </c>
      <c r="G62" s="40">
        <f>G63+G64</f>
        <v>5900</v>
      </c>
      <c r="H62" s="39">
        <f>H63+H64</f>
        <v>30897</v>
      </c>
      <c r="I62" s="364">
        <f>I63+I64</f>
        <v>0</v>
      </c>
      <c r="J62" s="39">
        <f>J63+J64</f>
        <v>30897</v>
      </c>
      <c r="K62" s="72"/>
    </row>
    <row r="63" spans="2:11" s="73" customFormat="1" ht="25.5">
      <c r="B63" s="37"/>
      <c r="C63" s="15"/>
      <c r="D63" s="28">
        <v>6050</v>
      </c>
      <c r="E63" s="29" t="s">
        <v>50</v>
      </c>
      <c r="F63" s="38">
        <v>3800</v>
      </c>
      <c r="G63" s="41">
        <v>1000</v>
      </c>
      <c r="H63" s="43">
        <f>F63+G63</f>
        <v>4800</v>
      </c>
      <c r="I63" s="370"/>
      <c r="J63" s="66">
        <f aca="true" t="shared" si="4" ref="J63:J70">H63-I63</f>
        <v>4800</v>
      </c>
      <c r="K63" s="72" t="s">
        <v>337</v>
      </c>
    </row>
    <row r="64" spans="2:11" s="50" customFormat="1" ht="38.25">
      <c r="B64" s="15"/>
      <c r="C64" s="28"/>
      <c r="D64" s="28">
        <v>6060</v>
      </c>
      <c r="E64" s="29" t="s">
        <v>61</v>
      </c>
      <c r="F64" s="60">
        <f>F65+F66</f>
        <v>21197</v>
      </c>
      <c r="G64" s="371">
        <f>G65+G66</f>
        <v>4900</v>
      </c>
      <c r="H64" s="60">
        <f>H65+H66</f>
        <v>26097</v>
      </c>
      <c r="I64" s="362"/>
      <c r="J64" s="66">
        <f t="shared" si="4"/>
        <v>26097</v>
      </c>
      <c r="K64" s="62"/>
    </row>
    <row r="65" spans="2:11" s="50" customFormat="1" ht="12.75">
      <c r="B65" s="15"/>
      <c r="C65" s="28"/>
      <c r="D65" s="28"/>
      <c r="E65" s="29"/>
      <c r="F65" s="43">
        <v>21197</v>
      </c>
      <c r="G65" s="87"/>
      <c r="H65" s="66">
        <f>F65+G65</f>
        <v>21197</v>
      </c>
      <c r="I65" s="362"/>
      <c r="J65" s="66"/>
      <c r="K65" s="62" t="s">
        <v>94</v>
      </c>
    </row>
    <row r="66" spans="2:11" s="50" customFormat="1" ht="12.75">
      <c r="B66" s="15"/>
      <c r="C66" s="28"/>
      <c r="D66" s="28"/>
      <c r="E66" s="29"/>
      <c r="F66" s="43"/>
      <c r="G66" s="87">
        <v>4900</v>
      </c>
      <c r="H66" s="66">
        <f>F66+G66</f>
        <v>4900</v>
      </c>
      <c r="I66" s="362"/>
      <c r="J66" s="66"/>
      <c r="K66" s="62" t="s">
        <v>414</v>
      </c>
    </row>
    <row r="67" spans="2:11" s="50" customFormat="1" ht="38.25">
      <c r="B67" s="15"/>
      <c r="C67" s="15">
        <v>80103</v>
      </c>
      <c r="D67" s="15"/>
      <c r="E67" s="18" t="s">
        <v>161</v>
      </c>
      <c r="F67" s="60">
        <f>F68</f>
        <v>3600</v>
      </c>
      <c r="G67" s="61">
        <f>G68</f>
        <v>0</v>
      </c>
      <c r="H67" s="60">
        <f>H68</f>
        <v>3600</v>
      </c>
      <c r="I67" s="359">
        <f>I68</f>
        <v>0</v>
      </c>
      <c r="J67" s="60">
        <f>J68</f>
        <v>3600</v>
      </c>
      <c r="K67" s="62"/>
    </row>
    <row r="68" spans="2:11" s="50" customFormat="1" ht="25.5">
      <c r="B68" s="15"/>
      <c r="C68" s="28"/>
      <c r="D68" s="28">
        <v>6050</v>
      </c>
      <c r="E68" s="29" t="s">
        <v>50</v>
      </c>
      <c r="F68" s="43">
        <v>3600</v>
      </c>
      <c r="G68" s="87"/>
      <c r="H68" s="66">
        <f>F68+G68</f>
        <v>3600</v>
      </c>
      <c r="I68" s="362"/>
      <c r="J68" s="66">
        <f t="shared" si="4"/>
        <v>3600</v>
      </c>
      <c r="K68" s="62" t="s">
        <v>415</v>
      </c>
    </row>
    <row r="69" spans="2:11" s="50" customFormat="1" ht="12.75">
      <c r="B69" s="15"/>
      <c r="C69" s="15">
        <v>80104</v>
      </c>
      <c r="D69" s="15"/>
      <c r="E69" s="18" t="s">
        <v>38</v>
      </c>
      <c r="F69" s="60">
        <f>F70+F74</f>
        <v>35000</v>
      </c>
      <c r="G69" s="61">
        <f>G70+G74</f>
        <v>0</v>
      </c>
      <c r="H69" s="60">
        <f>H70+H74</f>
        <v>35000</v>
      </c>
      <c r="I69" s="359">
        <f>I70+I74</f>
        <v>0</v>
      </c>
      <c r="J69" s="60">
        <f>J70+J74</f>
        <v>35000</v>
      </c>
      <c r="K69" s="62"/>
    </row>
    <row r="70" spans="2:11" s="50" customFormat="1" ht="25.5">
      <c r="B70" s="15"/>
      <c r="C70" s="28"/>
      <c r="D70" s="28">
        <v>6050</v>
      </c>
      <c r="E70" s="29" t="s">
        <v>50</v>
      </c>
      <c r="F70" s="43">
        <v>35000</v>
      </c>
      <c r="G70" s="87"/>
      <c r="H70" s="66">
        <f>F70+G70</f>
        <v>35000</v>
      </c>
      <c r="I70" s="362"/>
      <c r="J70" s="66">
        <f t="shared" si="4"/>
        <v>35000</v>
      </c>
      <c r="K70" s="62" t="s">
        <v>252</v>
      </c>
    </row>
    <row r="71" spans="2:11" s="50" customFormat="1" ht="12.75" hidden="1">
      <c r="B71" s="15"/>
      <c r="C71" s="28"/>
      <c r="D71" s="28"/>
      <c r="E71" s="29"/>
      <c r="F71" s="43"/>
      <c r="G71" s="87"/>
      <c r="H71" s="66">
        <f>F71+G71</f>
        <v>0</v>
      </c>
      <c r="I71" s="362">
        <f aca="true" t="shared" si="5" ref="I71:J73">G71+H71</f>
        <v>0</v>
      </c>
      <c r="J71" s="66">
        <f t="shared" si="5"/>
        <v>0</v>
      </c>
      <c r="K71" s="62" t="s">
        <v>95</v>
      </c>
    </row>
    <row r="72" spans="2:11" s="50" customFormat="1" ht="12.75" hidden="1">
      <c r="B72" s="15"/>
      <c r="C72" s="28"/>
      <c r="D72" s="28"/>
      <c r="E72" s="29"/>
      <c r="F72" s="43"/>
      <c r="G72" s="87"/>
      <c r="H72" s="66">
        <f>F72+G72</f>
        <v>0</v>
      </c>
      <c r="I72" s="362">
        <f t="shared" si="5"/>
        <v>0</v>
      </c>
      <c r="J72" s="66">
        <f t="shared" si="5"/>
        <v>0</v>
      </c>
      <c r="K72" s="62" t="s">
        <v>102</v>
      </c>
    </row>
    <row r="73" spans="2:11" s="50" customFormat="1" ht="12.75" hidden="1">
      <c r="B73" s="15"/>
      <c r="C73" s="28"/>
      <c r="D73" s="28"/>
      <c r="E73" s="29"/>
      <c r="F73" s="43"/>
      <c r="G73" s="87"/>
      <c r="H73" s="66">
        <f>F73+G73</f>
        <v>0</v>
      </c>
      <c r="I73" s="362">
        <f t="shared" si="5"/>
        <v>0</v>
      </c>
      <c r="J73" s="66">
        <f t="shared" si="5"/>
        <v>0</v>
      </c>
      <c r="K73" s="89" t="s">
        <v>96</v>
      </c>
    </row>
    <row r="74" spans="2:11" s="50" customFormat="1" ht="27.75" customHeight="1" hidden="1">
      <c r="B74" s="15"/>
      <c r="C74" s="28"/>
      <c r="D74" s="28">
        <v>6060</v>
      </c>
      <c r="E74" s="29" t="s">
        <v>61</v>
      </c>
      <c r="F74" s="60">
        <f>SUM(F75:F76)</f>
        <v>0</v>
      </c>
      <c r="G74" s="61">
        <f>SUM(G75:G76)</f>
        <v>0</v>
      </c>
      <c r="H74" s="60">
        <f>SUM(H75:H76)</f>
        <v>0</v>
      </c>
      <c r="I74" s="359">
        <f>SUM(I75:I76)</f>
        <v>0</v>
      </c>
      <c r="J74" s="60">
        <f>SUM(J75:J76)</f>
        <v>0</v>
      </c>
      <c r="K74" s="90"/>
    </row>
    <row r="75" spans="2:11" s="50" customFormat="1" ht="12.75" hidden="1">
      <c r="B75" s="15"/>
      <c r="C75" s="28"/>
      <c r="D75" s="28"/>
      <c r="E75" s="29"/>
      <c r="F75" s="43"/>
      <c r="G75" s="87"/>
      <c r="H75" s="66">
        <f aca="true" t="shared" si="6" ref="H75:J76">F75+G75</f>
        <v>0</v>
      </c>
      <c r="I75" s="362">
        <f t="shared" si="6"/>
        <v>0</v>
      </c>
      <c r="J75" s="66">
        <f t="shared" si="6"/>
        <v>0</v>
      </c>
      <c r="K75" s="90" t="s">
        <v>97</v>
      </c>
    </row>
    <row r="76" spans="2:11" s="50" customFormat="1" ht="12.75" hidden="1">
      <c r="B76" s="15"/>
      <c r="C76" s="28"/>
      <c r="D76" s="28"/>
      <c r="E76" s="29"/>
      <c r="F76" s="43"/>
      <c r="G76" s="87"/>
      <c r="H76" s="66">
        <f t="shared" si="6"/>
        <v>0</v>
      </c>
      <c r="I76" s="362">
        <f t="shared" si="6"/>
        <v>0</v>
      </c>
      <c r="J76" s="66">
        <f t="shared" si="6"/>
        <v>0</v>
      </c>
      <c r="K76" s="90" t="s">
        <v>163</v>
      </c>
    </row>
    <row r="77" spans="2:11" s="50" customFormat="1" ht="12.75">
      <c r="B77" s="15"/>
      <c r="C77" s="15">
        <v>80110</v>
      </c>
      <c r="D77" s="15"/>
      <c r="E77" s="18" t="s">
        <v>39</v>
      </c>
      <c r="F77" s="60">
        <f>F78+F82</f>
        <v>26111</v>
      </c>
      <c r="G77" s="61">
        <f>G78+G82</f>
        <v>0</v>
      </c>
      <c r="H77" s="60">
        <f>H78+H82</f>
        <v>26111</v>
      </c>
      <c r="I77" s="359">
        <f>I78+I82</f>
        <v>0</v>
      </c>
      <c r="J77" s="60">
        <f>J78+J82</f>
        <v>26111</v>
      </c>
      <c r="K77" s="62"/>
    </row>
    <row r="78" spans="2:11" s="50" customFormat="1" ht="25.5">
      <c r="B78" s="15"/>
      <c r="C78" s="15"/>
      <c r="D78" s="28">
        <v>6050</v>
      </c>
      <c r="E78" s="29" t="s">
        <v>50</v>
      </c>
      <c r="F78" s="60">
        <f>SUM(F79:F81)</f>
        <v>21300</v>
      </c>
      <c r="G78" s="61">
        <f>SUM(G79:G81)</f>
        <v>0</v>
      </c>
      <c r="H78" s="60">
        <f>SUM(H79:H81)</f>
        <v>21300</v>
      </c>
      <c r="I78" s="359">
        <f>SUM(I79:I81)</f>
        <v>0</v>
      </c>
      <c r="J78" s="60">
        <f>SUM(J79:J81)</f>
        <v>21300</v>
      </c>
      <c r="K78" s="62"/>
    </row>
    <row r="79" spans="2:11" s="50" customFormat="1" ht="19.5" customHeight="1">
      <c r="B79" s="15"/>
      <c r="C79" s="15"/>
      <c r="D79" s="28"/>
      <c r="E79" s="29"/>
      <c r="F79" s="43">
        <v>21300</v>
      </c>
      <c r="G79" s="115"/>
      <c r="H79" s="66">
        <f>F79+G79</f>
        <v>21300</v>
      </c>
      <c r="I79" s="362"/>
      <c r="J79" s="66">
        <f>H79-I79</f>
        <v>21300</v>
      </c>
      <c r="K79" s="62" t="s">
        <v>168</v>
      </c>
    </row>
    <row r="80" spans="2:11" s="50" customFormat="1" ht="12.75">
      <c r="B80" s="15"/>
      <c r="C80" s="15"/>
      <c r="D80" s="28"/>
      <c r="E80" s="29"/>
      <c r="F80" s="43">
        <v>0</v>
      </c>
      <c r="G80" s="115"/>
      <c r="H80" s="66">
        <f>F80+G80</f>
        <v>0</v>
      </c>
      <c r="I80" s="362"/>
      <c r="J80" s="66">
        <f>H80-I80</f>
        <v>0</v>
      </c>
      <c r="K80" s="62" t="s">
        <v>338</v>
      </c>
    </row>
    <row r="81" spans="2:11" s="50" customFormat="1" ht="12.75" hidden="1">
      <c r="B81" s="15"/>
      <c r="C81" s="15"/>
      <c r="D81" s="28"/>
      <c r="E81" s="29"/>
      <c r="F81" s="43"/>
      <c r="G81" s="87"/>
      <c r="H81" s="66">
        <f>F81+G81</f>
        <v>0</v>
      </c>
      <c r="I81" s="362">
        <f>G81+H81</f>
        <v>0</v>
      </c>
      <c r="J81" s="66">
        <f>H81+I81</f>
        <v>0</v>
      </c>
      <c r="K81" s="62" t="s">
        <v>169</v>
      </c>
    </row>
    <row r="82" spans="2:11" s="50" customFormat="1" ht="42" customHeight="1">
      <c r="B82" s="15"/>
      <c r="C82" s="15"/>
      <c r="D82" s="28">
        <v>6060</v>
      </c>
      <c r="E82" s="29" t="s">
        <v>61</v>
      </c>
      <c r="F82" s="60">
        <f>SUM(F83:F84)</f>
        <v>4811</v>
      </c>
      <c r="G82" s="372">
        <f>SUM(G83:G84)</f>
        <v>0</v>
      </c>
      <c r="H82" s="60">
        <f>SUM(H83:H84)</f>
        <v>4811</v>
      </c>
      <c r="I82" s="359">
        <f>SUM(I83:I84)</f>
        <v>0</v>
      </c>
      <c r="J82" s="60">
        <f>SUM(J83:J84)</f>
        <v>4811</v>
      </c>
      <c r="K82" s="62"/>
    </row>
    <row r="83" spans="2:11" s="50" customFormat="1" ht="12.75">
      <c r="B83" s="15"/>
      <c r="C83" s="15"/>
      <c r="D83" s="28"/>
      <c r="E83" s="29"/>
      <c r="F83" s="43">
        <v>4811</v>
      </c>
      <c r="G83" s="115"/>
      <c r="H83" s="66">
        <f>F83+G83</f>
        <v>4811</v>
      </c>
      <c r="I83" s="362"/>
      <c r="J83" s="66">
        <f aca="true" t="shared" si="7" ref="J83:J89">H83-I83</f>
        <v>4811</v>
      </c>
      <c r="K83" s="62" t="s">
        <v>253</v>
      </c>
    </row>
    <row r="84" spans="2:11" s="50" customFormat="1" ht="12.75">
      <c r="B84" s="15"/>
      <c r="C84" s="15"/>
      <c r="D84" s="28"/>
      <c r="E84" s="29"/>
      <c r="F84" s="43">
        <v>0</v>
      </c>
      <c r="G84" s="115"/>
      <c r="H84" s="66">
        <f>F84+G84</f>
        <v>0</v>
      </c>
      <c r="I84" s="362"/>
      <c r="J84" s="66">
        <f t="shared" si="7"/>
        <v>0</v>
      </c>
      <c r="K84" s="62" t="s">
        <v>254</v>
      </c>
    </row>
    <row r="85" spans="2:11" s="50" customFormat="1" ht="25.5">
      <c r="B85" s="15"/>
      <c r="C85" s="15">
        <v>80114</v>
      </c>
      <c r="D85" s="15"/>
      <c r="E85" s="18" t="s">
        <v>82</v>
      </c>
      <c r="F85" s="60">
        <f>F86</f>
        <v>5000</v>
      </c>
      <c r="G85" s="61">
        <f>G86</f>
        <v>0</v>
      </c>
      <c r="H85" s="60">
        <f>H86</f>
        <v>5000</v>
      </c>
      <c r="I85" s="359">
        <f>I86</f>
        <v>0</v>
      </c>
      <c r="J85" s="60">
        <f>J86</f>
        <v>5000</v>
      </c>
      <c r="K85" s="62"/>
    </row>
    <row r="86" spans="2:11" s="50" customFormat="1" ht="38.25">
      <c r="B86" s="15"/>
      <c r="C86" s="15"/>
      <c r="D86" s="28">
        <v>6060</v>
      </c>
      <c r="E86" s="29" t="s">
        <v>61</v>
      </c>
      <c r="F86" s="43">
        <v>5000</v>
      </c>
      <c r="G86" s="87"/>
      <c r="H86" s="66">
        <f>F86+G86</f>
        <v>5000</v>
      </c>
      <c r="I86" s="362"/>
      <c r="J86" s="66">
        <f t="shared" si="7"/>
        <v>5000</v>
      </c>
      <c r="K86" s="62" t="s">
        <v>94</v>
      </c>
    </row>
    <row r="87" spans="2:11" s="50" customFormat="1" ht="12.75">
      <c r="B87" s="15"/>
      <c r="C87" s="15">
        <v>80195</v>
      </c>
      <c r="D87" s="15"/>
      <c r="E87" s="18" t="s">
        <v>40</v>
      </c>
      <c r="F87" s="60">
        <f>F89+F88</f>
        <v>66033</v>
      </c>
      <c r="G87" s="61">
        <f>G89+G88</f>
        <v>0</v>
      </c>
      <c r="H87" s="60">
        <f>H89+H88</f>
        <v>66033</v>
      </c>
      <c r="I87" s="359">
        <f>I89+I88</f>
        <v>46333</v>
      </c>
      <c r="J87" s="60">
        <f>J89+J88</f>
        <v>19700</v>
      </c>
      <c r="K87" s="62"/>
    </row>
    <row r="88" spans="2:11" s="50" customFormat="1" ht="25.5">
      <c r="B88" s="15"/>
      <c r="C88" s="15"/>
      <c r="D88" s="28">
        <v>6050</v>
      </c>
      <c r="E88" s="29" t="s">
        <v>50</v>
      </c>
      <c r="F88" s="43">
        <v>19200</v>
      </c>
      <c r="G88" s="87"/>
      <c r="H88" s="66">
        <f>F88+G88</f>
        <v>19200</v>
      </c>
      <c r="I88" s="362"/>
      <c r="J88" s="66">
        <f t="shared" si="7"/>
        <v>19200</v>
      </c>
      <c r="K88" s="62" t="s">
        <v>416</v>
      </c>
    </row>
    <row r="89" spans="2:11" s="50" customFormat="1" ht="38.25">
      <c r="B89" s="15"/>
      <c r="C89" s="15"/>
      <c r="D89" s="28">
        <v>6060</v>
      </c>
      <c r="E89" s="29" t="s">
        <v>61</v>
      </c>
      <c r="F89" s="66">
        <v>46833</v>
      </c>
      <c r="G89" s="115"/>
      <c r="H89" s="66">
        <f>F89+G89</f>
        <v>46833</v>
      </c>
      <c r="I89" s="362">
        <v>46333</v>
      </c>
      <c r="J89" s="66">
        <f t="shared" si="7"/>
        <v>500</v>
      </c>
      <c r="K89" s="62" t="s">
        <v>343</v>
      </c>
    </row>
    <row r="90" spans="2:11" s="50" customFormat="1" ht="12.75">
      <c r="B90" s="31">
        <v>851</v>
      </c>
      <c r="C90" s="42"/>
      <c r="D90" s="42"/>
      <c r="E90" s="33" t="s">
        <v>98</v>
      </c>
      <c r="F90" s="69">
        <f>F91+F95</f>
        <v>31300</v>
      </c>
      <c r="G90" s="70">
        <f>G91+G95</f>
        <v>0</v>
      </c>
      <c r="H90" s="69">
        <f>H91+H95</f>
        <v>31300</v>
      </c>
      <c r="I90" s="363">
        <f>I91+I95</f>
        <v>30133.83</v>
      </c>
      <c r="J90" s="69">
        <f>J91+J95</f>
        <v>1166.17</v>
      </c>
      <c r="K90" s="71"/>
    </row>
    <row r="91" spans="2:11" s="50" customFormat="1" ht="25.5">
      <c r="B91" s="25"/>
      <c r="C91" s="15">
        <v>85154</v>
      </c>
      <c r="D91" s="15"/>
      <c r="E91" s="18" t="s">
        <v>99</v>
      </c>
      <c r="F91" s="60">
        <f>F92</f>
        <v>23300</v>
      </c>
      <c r="G91" s="61">
        <f>G92</f>
        <v>0</v>
      </c>
      <c r="H91" s="60">
        <f>H92</f>
        <v>23300</v>
      </c>
      <c r="I91" s="359">
        <f>I92</f>
        <v>22512.82</v>
      </c>
      <c r="J91" s="60">
        <f>J92</f>
        <v>787.1800000000003</v>
      </c>
      <c r="K91" s="62"/>
    </row>
    <row r="92" spans="2:11" s="50" customFormat="1" ht="38.25">
      <c r="B92" s="15"/>
      <c r="C92" s="15"/>
      <c r="D92" s="28">
        <v>6060</v>
      </c>
      <c r="E92" s="29" t="s">
        <v>61</v>
      </c>
      <c r="F92" s="64">
        <f>SUM(F93:F94)</f>
        <v>23300</v>
      </c>
      <c r="G92" s="65">
        <f>SUM(G93:G94)</f>
        <v>0</v>
      </c>
      <c r="H92" s="64">
        <f>SUM(H93:H94)</f>
        <v>23300</v>
      </c>
      <c r="I92" s="361">
        <f>SUM(I93:I94)</f>
        <v>22512.82</v>
      </c>
      <c r="J92" s="64">
        <f>SUM(J93:J94)</f>
        <v>787.1800000000003</v>
      </c>
      <c r="K92" s="62"/>
    </row>
    <row r="93" spans="2:11" s="50" customFormat="1" ht="12.75">
      <c r="B93" s="15"/>
      <c r="C93" s="15"/>
      <c r="D93" s="28"/>
      <c r="E93" s="29"/>
      <c r="F93" s="43">
        <v>5700</v>
      </c>
      <c r="G93" s="87"/>
      <c r="H93" s="66">
        <f>F93+G93</f>
        <v>5700</v>
      </c>
      <c r="I93" s="362">
        <v>5700</v>
      </c>
      <c r="J93" s="66">
        <f>H93-I93</f>
        <v>0</v>
      </c>
      <c r="K93" s="62" t="s">
        <v>255</v>
      </c>
    </row>
    <row r="94" spans="2:11" s="50" customFormat="1" ht="12.75">
      <c r="B94" s="15"/>
      <c r="C94" s="15"/>
      <c r="D94" s="28"/>
      <c r="E94" s="29"/>
      <c r="F94" s="43">
        <v>17600</v>
      </c>
      <c r="G94" s="87"/>
      <c r="H94" s="66">
        <f>F94+G94</f>
        <v>17600</v>
      </c>
      <c r="I94" s="362">
        <v>16812.82</v>
      </c>
      <c r="J94" s="66">
        <f>H94-I94</f>
        <v>787.1800000000003</v>
      </c>
      <c r="K94" s="62" t="s">
        <v>344</v>
      </c>
    </row>
    <row r="95" spans="2:11" s="50" customFormat="1" ht="12.75">
      <c r="B95" s="15"/>
      <c r="C95" s="15">
        <v>85195</v>
      </c>
      <c r="D95" s="15"/>
      <c r="E95" s="18" t="s">
        <v>40</v>
      </c>
      <c r="F95" s="60">
        <f>F96</f>
        <v>8000</v>
      </c>
      <c r="G95" s="61">
        <f>G96</f>
        <v>0</v>
      </c>
      <c r="H95" s="60">
        <f>H96</f>
        <v>8000</v>
      </c>
      <c r="I95" s="359">
        <f>I96</f>
        <v>7621.01</v>
      </c>
      <c r="J95" s="60">
        <f>J96</f>
        <v>378.9899999999998</v>
      </c>
      <c r="K95" s="62"/>
    </row>
    <row r="96" spans="2:11" s="50" customFormat="1" ht="25.5">
      <c r="B96" s="15"/>
      <c r="C96" s="15"/>
      <c r="D96" s="28">
        <v>6050</v>
      </c>
      <c r="E96" s="29" t="s">
        <v>50</v>
      </c>
      <c r="F96" s="43">
        <v>8000</v>
      </c>
      <c r="G96" s="87"/>
      <c r="H96" s="66">
        <f>F96+G96</f>
        <v>8000</v>
      </c>
      <c r="I96" s="362">
        <v>7621.01</v>
      </c>
      <c r="J96" s="66">
        <f>H96-I96</f>
        <v>378.9899999999998</v>
      </c>
      <c r="K96" s="373" t="s">
        <v>417</v>
      </c>
    </row>
    <row r="97" spans="2:11" s="50" customFormat="1" ht="12.75">
      <c r="B97" s="31">
        <v>852</v>
      </c>
      <c r="C97" s="42"/>
      <c r="D97" s="42"/>
      <c r="E97" s="33" t="s">
        <v>177</v>
      </c>
      <c r="F97" s="69">
        <f aca="true" t="shared" si="8" ref="F97:J98">F98</f>
        <v>4500</v>
      </c>
      <c r="G97" s="70">
        <f t="shared" si="8"/>
        <v>0</v>
      </c>
      <c r="H97" s="69">
        <f t="shared" si="8"/>
        <v>4500</v>
      </c>
      <c r="I97" s="363">
        <f t="shared" si="8"/>
        <v>4499.99</v>
      </c>
      <c r="J97" s="69">
        <f t="shared" si="8"/>
        <v>0.010000000000218279</v>
      </c>
      <c r="K97" s="374"/>
    </row>
    <row r="98" spans="2:11" s="50" customFormat="1" ht="89.25">
      <c r="B98" s="34"/>
      <c r="C98" s="37">
        <v>85212</v>
      </c>
      <c r="D98" s="119"/>
      <c r="E98" s="18" t="s">
        <v>178</v>
      </c>
      <c r="F98" s="60">
        <f t="shared" si="8"/>
        <v>4500</v>
      </c>
      <c r="G98" s="61">
        <f t="shared" si="8"/>
        <v>0</v>
      </c>
      <c r="H98" s="60">
        <f t="shared" si="8"/>
        <v>4500</v>
      </c>
      <c r="I98" s="359">
        <f t="shared" si="8"/>
        <v>4499.99</v>
      </c>
      <c r="J98" s="60">
        <f t="shared" si="8"/>
        <v>0.010000000000218279</v>
      </c>
      <c r="K98" s="373"/>
    </row>
    <row r="99" spans="2:11" s="50" customFormat="1" ht="38.25">
      <c r="B99" s="15"/>
      <c r="C99" s="15"/>
      <c r="D99" s="28">
        <v>6060</v>
      </c>
      <c r="E99" s="29" t="s">
        <v>61</v>
      </c>
      <c r="F99" s="43">
        <v>4500</v>
      </c>
      <c r="G99" s="87"/>
      <c r="H99" s="66">
        <f>F99+G99</f>
        <v>4500</v>
      </c>
      <c r="I99" s="362">
        <v>4499.99</v>
      </c>
      <c r="J99" s="66">
        <f>H99-I99</f>
        <v>0.010000000000218279</v>
      </c>
      <c r="K99" s="373" t="s">
        <v>91</v>
      </c>
    </row>
    <row r="100" spans="2:11" s="50" customFormat="1" ht="25.5">
      <c r="B100" s="32">
        <v>900</v>
      </c>
      <c r="C100" s="32"/>
      <c r="D100" s="32"/>
      <c r="E100" s="33" t="s">
        <v>41</v>
      </c>
      <c r="F100" s="69">
        <f>F103+F109</f>
        <v>305000</v>
      </c>
      <c r="G100" s="309">
        <f>G103+G109</f>
        <v>-9761</v>
      </c>
      <c r="H100" s="69">
        <f>H103+H109</f>
        <v>295239</v>
      </c>
      <c r="I100" s="363">
        <f>I103+I109</f>
        <v>87738.38</v>
      </c>
      <c r="J100" s="69">
        <f>J103+J109</f>
        <v>207500.62</v>
      </c>
      <c r="K100" s="71"/>
    </row>
    <row r="101" spans="2:11" s="73" customFormat="1" ht="25.5" hidden="1">
      <c r="B101" s="37"/>
      <c r="C101" s="15">
        <v>90001</v>
      </c>
      <c r="D101" s="15"/>
      <c r="E101" s="18" t="s">
        <v>83</v>
      </c>
      <c r="F101" s="39">
        <f>F102</f>
        <v>0</v>
      </c>
      <c r="G101" s="301">
        <f>G102</f>
        <v>0</v>
      </c>
      <c r="H101" s="39">
        <f>H102</f>
        <v>0</v>
      </c>
      <c r="I101" s="364">
        <f>I102</f>
        <v>0</v>
      </c>
      <c r="J101" s="39">
        <f>J102</f>
        <v>0</v>
      </c>
      <c r="K101" s="72"/>
    </row>
    <row r="102" spans="2:11" s="73" customFormat="1" ht="25.5" hidden="1">
      <c r="B102" s="37"/>
      <c r="C102" s="37"/>
      <c r="D102" s="28">
        <v>6050</v>
      </c>
      <c r="E102" s="29" t="s">
        <v>50</v>
      </c>
      <c r="F102" s="38">
        <v>0</v>
      </c>
      <c r="G102" s="175"/>
      <c r="H102" s="66">
        <f>F102+G102</f>
        <v>0</v>
      </c>
      <c r="I102" s="362">
        <f>G102+H102</f>
        <v>0</v>
      </c>
      <c r="J102" s="66">
        <f>H102+I102</f>
        <v>0</v>
      </c>
      <c r="K102" s="72" t="s">
        <v>100</v>
      </c>
    </row>
    <row r="103" spans="2:11" s="50" customFormat="1" ht="25.5">
      <c r="B103" s="15"/>
      <c r="C103" s="15">
        <v>90015</v>
      </c>
      <c r="D103" s="15"/>
      <c r="E103" s="18" t="s">
        <v>84</v>
      </c>
      <c r="F103" s="60">
        <f>F104</f>
        <v>105000</v>
      </c>
      <c r="G103" s="137">
        <f>G104</f>
        <v>-9761</v>
      </c>
      <c r="H103" s="60">
        <f>H104</f>
        <v>95239</v>
      </c>
      <c r="I103" s="359">
        <f>I104</f>
        <v>87738.38</v>
      </c>
      <c r="J103" s="60">
        <f>J104</f>
        <v>7500.619999999995</v>
      </c>
      <c r="K103" s="62"/>
    </row>
    <row r="104" spans="2:11" s="50" customFormat="1" ht="28.5" customHeight="1">
      <c r="B104" s="15"/>
      <c r="C104" s="28"/>
      <c r="D104" s="28">
        <v>6050</v>
      </c>
      <c r="E104" s="29" t="s">
        <v>50</v>
      </c>
      <c r="F104" s="60">
        <f>SUM(F107:F108)</f>
        <v>105000</v>
      </c>
      <c r="G104" s="137">
        <f>SUM(G107:G108)</f>
        <v>-9761</v>
      </c>
      <c r="H104" s="60">
        <f>SUM(H107:H108)</f>
        <v>95239</v>
      </c>
      <c r="I104" s="359">
        <f>SUM(I107:I108)</f>
        <v>87738.38</v>
      </c>
      <c r="J104" s="60">
        <f>SUM(J107:J108)</f>
        <v>7500.619999999995</v>
      </c>
      <c r="K104" s="62"/>
    </row>
    <row r="105" spans="2:11" s="50" customFormat="1" ht="12.75" hidden="1">
      <c r="B105" s="15"/>
      <c r="C105" s="15">
        <v>90095</v>
      </c>
      <c r="D105" s="15"/>
      <c r="E105" s="18" t="s">
        <v>40</v>
      </c>
      <c r="F105" s="60">
        <f>SUM(F106:F106)</f>
        <v>0</v>
      </c>
      <c r="G105" s="137">
        <f>SUM(G106:G106)</f>
        <v>0</v>
      </c>
      <c r="H105" s="60">
        <f>SUM(H106:H106)</f>
        <v>0</v>
      </c>
      <c r="I105" s="359">
        <f>SUM(I106:I106)</f>
        <v>0</v>
      </c>
      <c r="J105" s="60">
        <f>SUM(J106:J106)</f>
        <v>0</v>
      </c>
      <c r="K105" s="62"/>
    </row>
    <row r="106" spans="2:11" s="50" customFormat="1" ht="25.5" hidden="1">
      <c r="B106" s="15"/>
      <c r="C106" s="28"/>
      <c r="D106" s="28">
        <v>6050</v>
      </c>
      <c r="E106" s="29" t="s">
        <v>50</v>
      </c>
      <c r="F106" s="43"/>
      <c r="G106" s="115"/>
      <c r="H106" s="66">
        <f>F106+G106</f>
        <v>0</v>
      </c>
      <c r="I106" s="362">
        <f>G106+H106</f>
        <v>0</v>
      </c>
      <c r="J106" s="66">
        <f>H106+I106</f>
        <v>0</v>
      </c>
      <c r="K106" s="62" t="s">
        <v>101</v>
      </c>
    </row>
    <row r="107" spans="2:11" s="50" customFormat="1" ht="24">
      <c r="B107" s="15"/>
      <c r="C107" s="28"/>
      <c r="D107" s="28"/>
      <c r="E107" s="29"/>
      <c r="F107" s="43">
        <v>95000</v>
      </c>
      <c r="G107" s="115">
        <v>-7261</v>
      </c>
      <c r="H107" s="66">
        <f>F107+G107</f>
        <v>87739</v>
      </c>
      <c r="I107" s="362">
        <v>87738.38</v>
      </c>
      <c r="J107" s="66">
        <f>H107-I107</f>
        <v>0.6199999999953434</v>
      </c>
      <c r="K107" s="62" t="s">
        <v>256</v>
      </c>
    </row>
    <row r="108" spans="2:11" s="50" customFormat="1" ht="12.75">
      <c r="B108" s="15"/>
      <c r="C108" s="28"/>
      <c r="D108" s="28"/>
      <c r="E108" s="29"/>
      <c r="F108" s="43">
        <v>10000</v>
      </c>
      <c r="G108" s="115">
        <v>-2500</v>
      </c>
      <c r="H108" s="66">
        <f>F108+G108</f>
        <v>7500</v>
      </c>
      <c r="I108" s="362"/>
      <c r="J108" s="66">
        <f>H108-I108</f>
        <v>7500</v>
      </c>
      <c r="K108" s="62" t="s">
        <v>267</v>
      </c>
    </row>
    <row r="109" spans="2:11" s="50" customFormat="1" ht="12.75">
      <c r="B109" s="144"/>
      <c r="C109" s="15">
        <v>90095</v>
      </c>
      <c r="D109" s="15"/>
      <c r="E109" s="18" t="s">
        <v>40</v>
      </c>
      <c r="F109" s="60">
        <f>F110</f>
        <v>200000</v>
      </c>
      <c r="G109" s="61">
        <f>G110</f>
        <v>0</v>
      </c>
      <c r="H109" s="60">
        <f>H110</f>
        <v>200000</v>
      </c>
      <c r="I109" s="359">
        <f>I110</f>
        <v>0</v>
      </c>
      <c r="J109" s="60">
        <f>J110</f>
        <v>200000</v>
      </c>
      <c r="K109" s="62"/>
    </row>
    <row r="110" spans="2:11" s="50" customFormat="1" ht="25.5">
      <c r="B110" s="144"/>
      <c r="C110" s="28"/>
      <c r="D110" s="28">
        <v>6050</v>
      </c>
      <c r="E110" s="29" t="s">
        <v>50</v>
      </c>
      <c r="F110" s="43">
        <v>200000</v>
      </c>
      <c r="G110" s="87"/>
      <c r="H110" s="66">
        <f>F110+G110</f>
        <v>200000</v>
      </c>
      <c r="I110" s="362"/>
      <c r="J110" s="66">
        <f>H110-I110</f>
        <v>200000</v>
      </c>
      <c r="K110" s="219" t="s">
        <v>335</v>
      </c>
    </row>
    <row r="111" spans="2:11" s="50" customFormat="1" ht="12.75">
      <c r="B111" s="31">
        <v>926</v>
      </c>
      <c r="C111" s="32"/>
      <c r="D111" s="32"/>
      <c r="E111" s="33" t="s">
        <v>19</v>
      </c>
      <c r="F111" s="69">
        <f>F112</f>
        <v>62450</v>
      </c>
      <c r="G111" s="309">
        <f>G112</f>
        <v>-14000</v>
      </c>
      <c r="H111" s="69">
        <f>H112</f>
        <v>48450</v>
      </c>
      <c r="I111" s="363">
        <f>I112</f>
        <v>12468.67</v>
      </c>
      <c r="J111" s="69">
        <f>J112</f>
        <v>35981.33</v>
      </c>
      <c r="K111" s="71"/>
    </row>
    <row r="112" spans="2:11" s="50" customFormat="1" ht="12.75">
      <c r="B112" s="15"/>
      <c r="C112" s="15">
        <v>92695</v>
      </c>
      <c r="D112" s="15"/>
      <c r="E112" s="18" t="s">
        <v>40</v>
      </c>
      <c r="F112" s="60">
        <f>F113+F116</f>
        <v>62450</v>
      </c>
      <c r="G112" s="137">
        <f>G113+G116</f>
        <v>-14000</v>
      </c>
      <c r="H112" s="60">
        <f>H113+H116</f>
        <v>48450</v>
      </c>
      <c r="I112" s="359">
        <f>I113+I116</f>
        <v>12468.67</v>
      </c>
      <c r="J112" s="60">
        <f>J113+J116</f>
        <v>35981.33</v>
      </c>
      <c r="K112" s="62"/>
    </row>
    <row r="113" spans="2:11" s="50" customFormat="1" ht="25.5">
      <c r="B113" s="15"/>
      <c r="C113" s="28"/>
      <c r="D113" s="28">
        <v>6050</v>
      </c>
      <c r="E113" s="29" t="s">
        <v>50</v>
      </c>
      <c r="F113" s="60">
        <f>F114+F115</f>
        <v>50000</v>
      </c>
      <c r="G113" s="137">
        <f>G114+G115</f>
        <v>-14000</v>
      </c>
      <c r="H113" s="60">
        <f>H114+H115</f>
        <v>36000</v>
      </c>
      <c r="I113" s="359">
        <f>I114+I115</f>
        <v>18.67</v>
      </c>
      <c r="J113" s="60">
        <f>J114+J115</f>
        <v>35981.33</v>
      </c>
      <c r="K113" s="62"/>
    </row>
    <row r="114" spans="2:11" s="50" customFormat="1" ht="24">
      <c r="B114" s="15"/>
      <c r="C114" s="28"/>
      <c r="D114" s="28"/>
      <c r="E114" s="29"/>
      <c r="F114" s="43">
        <v>0</v>
      </c>
      <c r="G114" s="115"/>
      <c r="H114" s="66">
        <f>F114+G114</f>
        <v>0</v>
      </c>
      <c r="I114" s="362"/>
      <c r="J114" s="66">
        <f>H114-I114</f>
        <v>0</v>
      </c>
      <c r="K114" s="62" t="s">
        <v>257</v>
      </c>
    </row>
    <row r="115" spans="2:11" s="50" customFormat="1" ht="12.75">
      <c r="B115" s="15"/>
      <c r="C115" s="28"/>
      <c r="D115" s="28"/>
      <c r="E115" s="29"/>
      <c r="F115" s="43">
        <v>50000</v>
      </c>
      <c r="G115" s="115">
        <v>-14000</v>
      </c>
      <c r="H115" s="66">
        <f>F115+G115</f>
        <v>36000</v>
      </c>
      <c r="I115" s="362">
        <v>18.67</v>
      </c>
      <c r="J115" s="66">
        <f>H115-I115</f>
        <v>35981.33</v>
      </c>
      <c r="K115" s="62" t="s">
        <v>418</v>
      </c>
    </row>
    <row r="116" spans="2:11" s="50" customFormat="1" ht="38.25">
      <c r="B116" s="15"/>
      <c r="C116" s="28"/>
      <c r="D116" s="28">
        <v>6060</v>
      </c>
      <c r="E116" s="29" t="s">
        <v>61</v>
      </c>
      <c r="F116" s="43">
        <v>12450</v>
      </c>
      <c r="G116" s="87"/>
      <c r="H116" s="66">
        <f>F116+G116</f>
        <v>12450</v>
      </c>
      <c r="I116" s="362">
        <v>12450</v>
      </c>
      <c r="J116" s="66">
        <f>H116-I116</f>
        <v>0</v>
      </c>
      <c r="K116" s="306" t="s">
        <v>339</v>
      </c>
    </row>
    <row r="117" spans="2:11" s="50" customFormat="1" ht="12.75">
      <c r="B117" s="91"/>
      <c r="C117" s="92"/>
      <c r="D117" s="92"/>
      <c r="E117" s="93" t="s">
        <v>85</v>
      </c>
      <c r="F117" s="94">
        <f>F7+F17+F26+F40+F55+F61+F100+F90+F111+F97</f>
        <v>4175770</v>
      </c>
      <c r="G117" s="375">
        <f>G7+G17+G26+G40+G55+G61+G100+G90+G111+G97</f>
        <v>-167279</v>
      </c>
      <c r="H117" s="94">
        <f>H7+H17+H26+H40+H55+H61+H100+H90+H111+H97</f>
        <v>4008491</v>
      </c>
      <c r="I117" s="376">
        <f>I7+I17+I26+I40+I55+I61+I100+I90+I111+I97</f>
        <v>2383289.2800000003</v>
      </c>
      <c r="J117" s="94">
        <f>J7+J17+J26+J40+J55+J61+J100+J90+J111+J97</f>
        <v>1625201.72</v>
      </c>
      <c r="K117" s="95"/>
    </row>
    <row r="118" spans="6:11" s="50" customFormat="1" ht="12.75">
      <c r="F118" s="96"/>
      <c r="G118" s="97"/>
      <c r="H118" s="96"/>
      <c r="I118" s="377"/>
      <c r="J118" s="96"/>
      <c r="K118" s="98"/>
    </row>
    <row r="119" spans="5:11" s="50" customFormat="1" ht="15.75">
      <c r="E119" s="99"/>
      <c r="F119" s="100"/>
      <c r="G119" s="101"/>
      <c r="H119" s="100"/>
      <c r="I119" s="378"/>
      <c r="J119" s="100"/>
      <c r="K119" s="98"/>
    </row>
    <row r="120" spans="4:11" s="50" customFormat="1" ht="12.75">
      <c r="D120" s="102"/>
      <c r="E120" s="96"/>
      <c r="G120" s="103"/>
      <c r="I120" s="379"/>
      <c r="K120" s="104"/>
    </row>
    <row r="121" spans="7:11" s="50" customFormat="1" ht="12.75">
      <c r="G121" s="103"/>
      <c r="I121" s="379"/>
      <c r="K121" s="104"/>
    </row>
    <row r="122" spans="5:11" s="50" customFormat="1" ht="12.75">
      <c r="E122" s="96"/>
      <c r="F122" s="96"/>
      <c r="G122" s="97"/>
      <c r="H122" s="96"/>
      <c r="I122" s="377"/>
      <c r="J122" s="96"/>
      <c r="K122" s="104"/>
    </row>
    <row r="123" spans="6:11" s="50" customFormat="1" ht="12.75">
      <c r="F123" s="96"/>
      <c r="G123" s="97"/>
      <c r="H123" s="96"/>
      <c r="I123" s="377"/>
      <c r="J123" s="96"/>
      <c r="K123" s="104"/>
    </row>
    <row r="124" spans="6:11" s="50" customFormat="1" ht="12.75">
      <c r="F124" s="96"/>
      <c r="G124" s="97"/>
      <c r="H124" s="96"/>
      <c r="I124" s="377"/>
      <c r="J124" s="96"/>
      <c r="K124" s="104"/>
    </row>
    <row r="125" spans="6:11" s="50" customFormat="1" ht="12.75">
      <c r="F125" s="96"/>
      <c r="G125" s="97"/>
      <c r="H125" s="96"/>
      <c r="I125" s="377"/>
      <c r="J125" s="96"/>
      <c r="K125" s="104"/>
    </row>
    <row r="126" spans="6:11" s="50" customFormat="1" ht="12.75">
      <c r="F126" s="96"/>
      <c r="G126" s="97"/>
      <c r="H126" s="96"/>
      <c r="I126" s="377"/>
      <c r="J126" s="96"/>
      <c r="K126" s="104"/>
    </row>
    <row r="127" spans="6:11" s="50" customFormat="1" ht="12.75">
      <c r="F127" s="96"/>
      <c r="G127" s="97"/>
      <c r="H127" s="96"/>
      <c r="I127" s="377"/>
      <c r="J127" s="96"/>
      <c r="K127" s="104"/>
    </row>
    <row r="128" spans="6:11" s="50" customFormat="1" ht="12.75">
      <c r="F128" s="96"/>
      <c r="G128" s="97"/>
      <c r="H128" s="96"/>
      <c r="I128" s="377"/>
      <c r="J128" s="96"/>
      <c r="K128" s="104"/>
    </row>
    <row r="129" spans="6:11" s="50" customFormat="1" ht="12.75">
      <c r="F129" s="96"/>
      <c r="G129" s="97"/>
      <c r="H129" s="96"/>
      <c r="I129" s="377"/>
      <c r="J129" s="96"/>
      <c r="K129" s="104"/>
    </row>
    <row r="130" spans="7:11" s="50" customFormat="1" ht="12.75">
      <c r="G130" s="103"/>
      <c r="I130" s="379"/>
      <c r="K130" s="104"/>
    </row>
    <row r="131" spans="7:11" s="50" customFormat="1" ht="12.75">
      <c r="G131" s="103"/>
      <c r="I131" s="379"/>
      <c r="K131" s="104"/>
    </row>
    <row r="143" ht="11.25" customHeight="1"/>
  </sheetData>
  <sheetProtection/>
  <mergeCells count="12">
    <mergeCell ref="K3:K4"/>
    <mergeCell ref="K20:K21"/>
    <mergeCell ref="K1:K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58"/>
  <sheetViews>
    <sheetView tabSelected="1" zoomScalePageLayoutView="0" workbookViewId="0" topLeftCell="A25">
      <selection activeCell="C58" sqref="C58"/>
    </sheetView>
  </sheetViews>
  <sheetFormatPr defaultColWidth="9.140625" defaultRowHeight="12.75"/>
  <cols>
    <col min="1" max="1" width="2.421875" style="229" customWidth="1"/>
    <col min="2" max="2" width="18.421875" style="230" customWidth="1"/>
    <col min="3" max="3" width="6.00390625" style="231" customWidth="1"/>
    <col min="4" max="4" width="8.28125" style="232" bestFit="1" customWidth="1"/>
    <col min="5" max="5" width="6.57421875" style="233" customWidth="1"/>
    <col min="6" max="6" width="7.8515625" style="234" hidden="1" customWidth="1"/>
    <col min="7" max="7" width="10.8515625" style="235" hidden="1" customWidth="1"/>
    <col min="8" max="8" width="6.7109375" style="235" bestFit="1" customWidth="1"/>
    <col min="9" max="9" width="7.28125" style="235" bestFit="1" customWidth="1"/>
    <col min="10" max="10" width="7.421875" style="235" customWidth="1"/>
    <col min="11" max="11" width="7.140625" style="235" bestFit="1" customWidth="1"/>
    <col min="12" max="12" width="6.140625" style="235" customWidth="1"/>
    <col min="13" max="13" width="4.00390625" style="235" bestFit="1" customWidth="1"/>
    <col min="14" max="14" width="5.8515625" style="235" customWidth="1"/>
    <col min="15" max="15" width="7.28125" style="235" customWidth="1"/>
    <col min="16" max="16" width="7.421875" style="235" customWidth="1"/>
    <col min="17" max="17" width="5.8515625" style="235" bestFit="1" customWidth="1"/>
    <col min="18" max="18" width="6.00390625" style="235" bestFit="1" customWidth="1"/>
    <col min="19" max="19" width="7.140625" style="235" bestFit="1" customWidth="1"/>
    <col min="20" max="20" width="7.28125" style="235" customWidth="1"/>
    <col min="21" max="21" width="5.8515625" style="235" bestFit="1" customWidth="1"/>
    <col min="22" max="22" width="7.8515625" style="235" customWidth="1"/>
    <col min="23" max="23" width="10.140625" style="235" customWidth="1"/>
    <col min="24" max="16384" width="9.140625" style="230" customWidth="1"/>
  </cols>
  <sheetData>
    <row r="2" spans="1:23" s="237" customFormat="1" ht="35.25" customHeight="1" thickBot="1">
      <c r="A2" s="428" t="s">
        <v>207</v>
      </c>
      <c r="B2" s="429"/>
      <c r="C2" s="429"/>
      <c r="D2" s="429"/>
      <c r="E2" s="429"/>
      <c r="F2" s="429"/>
      <c r="G2" s="429"/>
      <c r="H2" s="429"/>
      <c r="I2" s="429"/>
      <c r="J2" s="429"/>
      <c r="K2" s="236"/>
      <c r="L2" s="236"/>
      <c r="M2" s="236"/>
      <c r="N2" s="236"/>
      <c r="O2" s="236"/>
      <c r="P2" s="236"/>
      <c r="Q2" s="236"/>
      <c r="R2" s="236"/>
      <c r="S2" s="236"/>
      <c r="T2" s="430" t="s">
        <v>419</v>
      </c>
      <c r="U2" s="430"/>
      <c r="V2" s="430"/>
      <c r="W2" s="236"/>
    </row>
    <row r="3" spans="1:23" s="240" customFormat="1" ht="14.25" customHeight="1">
      <c r="A3" s="431" t="s">
        <v>208</v>
      </c>
      <c r="B3" s="433" t="s">
        <v>209</v>
      </c>
      <c r="C3" s="435" t="s">
        <v>268</v>
      </c>
      <c r="D3" s="437" t="s">
        <v>269</v>
      </c>
      <c r="E3" s="437"/>
      <c r="F3" s="437"/>
      <c r="G3" s="437"/>
      <c r="H3" s="437"/>
      <c r="I3" s="437"/>
      <c r="J3" s="437"/>
      <c r="K3" s="438" t="s">
        <v>270</v>
      </c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239"/>
    </row>
    <row r="4" spans="1:23" s="240" customFormat="1" ht="15.75" customHeight="1">
      <c r="A4" s="432"/>
      <c r="B4" s="434"/>
      <c r="C4" s="436"/>
      <c r="D4" s="438" t="s">
        <v>271</v>
      </c>
      <c r="E4" s="238"/>
      <c r="F4" s="238"/>
      <c r="G4" s="422">
        <v>2007</v>
      </c>
      <c r="H4" s="422">
        <v>2008</v>
      </c>
      <c r="I4" s="422">
        <v>2009</v>
      </c>
      <c r="J4" s="423">
        <v>2010</v>
      </c>
      <c r="K4" s="424">
        <v>2008</v>
      </c>
      <c r="L4" s="425"/>
      <c r="M4" s="425"/>
      <c r="N4" s="426"/>
      <c r="O4" s="424">
        <v>2009</v>
      </c>
      <c r="P4" s="425"/>
      <c r="Q4" s="425"/>
      <c r="R4" s="427"/>
      <c r="S4" s="424">
        <v>2010</v>
      </c>
      <c r="T4" s="425"/>
      <c r="U4" s="425"/>
      <c r="V4" s="426"/>
      <c r="W4" s="239"/>
    </row>
    <row r="5" spans="1:23" s="240" customFormat="1" ht="29.25" customHeight="1">
      <c r="A5" s="432"/>
      <c r="B5" s="434"/>
      <c r="C5" s="436"/>
      <c r="D5" s="438"/>
      <c r="E5" s="241" t="s">
        <v>272</v>
      </c>
      <c r="F5" s="241" t="s">
        <v>273</v>
      </c>
      <c r="G5" s="422"/>
      <c r="H5" s="422"/>
      <c r="I5" s="422"/>
      <c r="J5" s="423"/>
      <c r="K5" s="242" t="s">
        <v>274</v>
      </c>
      <c r="L5" s="241" t="s">
        <v>275</v>
      </c>
      <c r="M5" s="238" t="s">
        <v>276</v>
      </c>
      <c r="N5" s="243" t="s">
        <v>277</v>
      </c>
      <c r="O5" s="242" t="s">
        <v>274</v>
      </c>
      <c r="P5" s="241" t="s">
        <v>275</v>
      </c>
      <c r="Q5" s="238" t="s">
        <v>276</v>
      </c>
      <c r="R5" s="244" t="s">
        <v>277</v>
      </c>
      <c r="S5" s="242" t="s">
        <v>274</v>
      </c>
      <c r="T5" s="241" t="s">
        <v>275</v>
      </c>
      <c r="U5" s="238" t="s">
        <v>276</v>
      </c>
      <c r="V5" s="243" t="s">
        <v>277</v>
      </c>
      <c r="W5" s="239"/>
    </row>
    <row r="6" spans="1:23" s="254" customFormat="1" ht="14.25" customHeight="1">
      <c r="A6" s="245" t="s">
        <v>278</v>
      </c>
      <c r="B6" s="246" t="s">
        <v>279</v>
      </c>
      <c r="C6" s="247" t="s">
        <v>1</v>
      </c>
      <c r="D6" s="248">
        <v>3055000</v>
      </c>
      <c r="E6" s="249">
        <v>61000</v>
      </c>
      <c r="F6" s="249">
        <f>H6+I6</f>
        <v>2994000</v>
      </c>
      <c r="G6" s="249">
        <v>61000</v>
      </c>
      <c r="H6" s="249"/>
      <c r="I6" s="249">
        <f>2974000+20000</f>
        <v>2994000</v>
      </c>
      <c r="J6" s="250">
        <v>0</v>
      </c>
      <c r="K6" s="251">
        <v>0</v>
      </c>
      <c r="L6" s="250">
        <v>0</v>
      </c>
      <c r="M6" s="250">
        <v>0</v>
      </c>
      <c r="N6" s="252">
        <v>0</v>
      </c>
      <c r="O6" s="251">
        <f>474000+20000</f>
        <v>494000</v>
      </c>
      <c r="P6" s="249">
        <v>2500000</v>
      </c>
      <c r="Q6" s="250">
        <v>0</v>
      </c>
      <c r="R6" s="250">
        <v>0</v>
      </c>
      <c r="S6" s="251">
        <v>0</v>
      </c>
      <c r="T6" s="249">
        <v>0</v>
      </c>
      <c r="U6" s="249">
        <v>0</v>
      </c>
      <c r="V6" s="252">
        <v>0</v>
      </c>
      <c r="W6" s="253"/>
    </row>
    <row r="7" spans="1:23" s="254" customFormat="1" ht="16.5">
      <c r="A7" s="245" t="s">
        <v>280</v>
      </c>
      <c r="B7" s="246" t="s">
        <v>281</v>
      </c>
      <c r="C7" s="255"/>
      <c r="D7" s="256"/>
      <c r="E7" s="257"/>
      <c r="F7" s="257"/>
      <c r="G7" s="257"/>
      <c r="H7" s="257"/>
      <c r="I7" s="257"/>
      <c r="J7" s="258"/>
      <c r="K7" s="259"/>
      <c r="L7" s="260"/>
      <c r="M7" s="260"/>
      <c r="N7" s="261"/>
      <c r="O7" s="259"/>
      <c r="P7" s="257"/>
      <c r="Q7" s="257"/>
      <c r="R7" s="260"/>
      <c r="S7" s="259"/>
      <c r="T7" s="257"/>
      <c r="U7" s="257"/>
      <c r="V7" s="261"/>
      <c r="W7" s="253"/>
    </row>
    <row r="8" spans="1:23" s="254" customFormat="1" ht="16.5">
      <c r="A8" s="245" t="s">
        <v>282</v>
      </c>
      <c r="B8" s="246" t="s">
        <v>283</v>
      </c>
      <c r="C8" s="247" t="s">
        <v>210</v>
      </c>
      <c r="D8" s="248">
        <v>235000</v>
      </c>
      <c r="E8" s="249">
        <f>D8-F8</f>
        <v>135000</v>
      </c>
      <c r="F8" s="249">
        <v>100000</v>
      </c>
      <c r="G8" s="249"/>
      <c r="H8" s="249">
        <v>25000</v>
      </c>
      <c r="I8" s="249">
        <v>75000</v>
      </c>
      <c r="J8" s="250">
        <v>0</v>
      </c>
      <c r="K8" s="251">
        <v>25000</v>
      </c>
      <c r="L8" s="250">
        <v>0</v>
      </c>
      <c r="M8" s="250">
        <v>0</v>
      </c>
      <c r="N8" s="252">
        <v>0</v>
      </c>
      <c r="O8" s="251">
        <v>75000</v>
      </c>
      <c r="P8" s="250">
        <v>0</v>
      </c>
      <c r="Q8" s="250">
        <v>0</v>
      </c>
      <c r="R8" s="250">
        <v>0</v>
      </c>
      <c r="S8" s="251">
        <v>0</v>
      </c>
      <c r="T8" s="249">
        <v>0</v>
      </c>
      <c r="U8" s="249">
        <v>0</v>
      </c>
      <c r="V8" s="252">
        <v>0</v>
      </c>
      <c r="W8" s="253"/>
    </row>
    <row r="9" spans="1:23" s="254" customFormat="1" ht="16.5" customHeight="1">
      <c r="A9" s="245" t="s">
        <v>284</v>
      </c>
      <c r="B9" s="246" t="s">
        <v>285</v>
      </c>
      <c r="C9" s="247" t="s">
        <v>4</v>
      </c>
      <c r="D9" s="248">
        <v>350000</v>
      </c>
      <c r="E9" s="249">
        <v>100000</v>
      </c>
      <c r="F9" s="249">
        <v>250000</v>
      </c>
      <c r="G9" s="249"/>
      <c r="H9" s="249">
        <v>15000</v>
      </c>
      <c r="I9" s="249">
        <v>20000</v>
      </c>
      <c r="J9" s="250">
        <v>30000</v>
      </c>
      <c r="K9" s="251">
        <v>15000</v>
      </c>
      <c r="L9" s="250">
        <v>0</v>
      </c>
      <c r="M9" s="250">
        <v>0</v>
      </c>
      <c r="N9" s="252">
        <v>0</v>
      </c>
      <c r="O9" s="251">
        <v>20000</v>
      </c>
      <c r="P9" s="250">
        <v>0</v>
      </c>
      <c r="Q9" s="250">
        <v>0</v>
      </c>
      <c r="R9" s="250">
        <v>0</v>
      </c>
      <c r="S9" s="251">
        <v>30000</v>
      </c>
      <c r="T9" s="249">
        <v>0</v>
      </c>
      <c r="U9" s="249">
        <v>0</v>
      </c>
      <c r="V9" s="252">
        <v>0</v>
      </c>
      <c r="W9" s="253"/>
    </row>
    <row r="10" spans="1:23" s="254" customFormat="1" ht="18.75" customHeight="1">
      <c r="A10" s="245" t="s">
        <v>286</v>
      </c>
      <c r="B10" s="246" t="s">
        <v>287</v>
      </c>
      <c r="C10" s="247" t="s">
        <v>288</v>
      </c>
      <c r="D10" s="248">
        <v>130842.2</v>
      </c>
      <c r="E10" s="249">
        <f>D10-F10</f>
        <v>32549.199999999997</v>
      </c>
      <c r="F10" s="249">
        <v>98293</v>
      </c>
      <c r="G10" s="249"/>
      <c r="H10" s="249">
        <v>0</v>
      </c>
      <c r="I10" s="249">
        <v>19293</v>
      </c>
      <c r="J10" s="250">
        <v>79000</v>
      </c>
      <c r="K10" s="251">
        <v>0</v>
      </c>
      <c r="L10" s="250">
        <v>0</v>
      </c>
      <c r="M10" s="250">
        <v>0</v>
      </c>
      <c r="N10" s="252">
        <v>0</v>
      </c>
      <c r="O10" s="251">
        <v>19293</v>
      </c>
      <c r="P10" s="250">
        <v>0</v>
      </c>
      <c r="Q10" s="250">
        <v>0</v>
      </c>
      <c r="R10" s="250">
        <v>0</v>
      </c>
      <c r="S10" s="251">
        <v>79000</v>
      </c>
      <c r="T10" s="249">
        <v>0</v>
      </c>
      <c r="U10" s="249">
        <v>0</v>
      </c>
      <c r="V10" s="252">
        <v>0</v>
      </c>
      <c r="W10" s="253"/>
    </row>
    <row r="11" spans="1:23" s="254" customFormat="1" ht="19.5" customHeight="1">
      <c r="A11" s="245" t="s">
        <v>289</v>
      </c>
      <c r="B11" s="246" t="s">
        <v>290</v>
      </c>
      <c r="C11" s="247" t="s">
        <v>3</v>
      </c>
      <c r="D11" s="248">
        <v>660000</v>
      </c>
      <c r="E11" s="249">
        <v>40300</v>
      </c>
      <c r="F11" s="249">
        <v>619700</v>
      </c>
      <c r="G11" s="249">
        <v>40300</v>
      </c>
      <c r="H11" s="249">
        <v>155000</v>
      </c>
      <c r="I11" s="249">
        <f>301700-65000</f>
        <v>236700</v>
      </c>
      <c r="J11" s="250">
        <v>228000</v>
      </c>
      <c r="K11" s="251">
        <v>155000</v>
      </c>
      <c r="L11" s="250">
        <v>0</v>
      </c>
      <c r="M11" s="250">
        <v>0</v>
      </c>
      <c r="N11" s="252">
        <v>0</v>
      </c>
      <c r="O11" s="251">
        <v>236700</v>
      </c>
      <c r="P11" s="250">
        <v>0</v>
      </c>
      <c r="Q11" s="250">
        <v>0</v>
      </c>
      <c r="R11" s="250">
        <v>0</v>
      </c>
      <c r="S11" s="251">
        <v>228000</v>
      </c>
      <c r="T11" s="249">
        <v>0</v>
      </c>
      <c r="U11" s="249">
        <v>0</v>
      </c>
      <c r="V11" s="252">
        <v>0</v>
      </c>
      <c r="W11" s="253"/>
    </row>
    <row r="12" spans="1:23" s="254" customFormat="1" ht="20.25" customHeight="1">
      <c r="A12" s="245" t="s">
        <v>291</v>
      </c>
      <c r="B12" s="246" t="s">
        <v>292</v>
      </c>
      <c r="C12" s="247" t="s">
        <v>210</v>
      </c>
      <c r="D12" s="248">
        <v>90000</v>
      </c>
      <c r="E12" s="249">
        <v>50000</v>
      </c>
      <c r="F12" s="249">
        <v>40000</v>
      </c>
      <c r="G12" s="249"/>
      <c r="H12" s="249">
        <v>0</v>
      </c>
      <c r="I12" s="249">
        <v>40000</v>
      </c>
      <c r="J12" s="250">
        <v>0</v>
      </c>
      <c r="K12" s="251">
        <v>0</v>
      </c>
      <c r="L12" s="250">
        <v>0</v>
      </c>
      <c r="M12" s="250">
        <v>0</v>
      </c>
      <c r="N12" s="252">
        <v>0</v>
      </c>
      <c r="O12" s="251">
        <v>40000</v>
      </c>
      <c r="P12" s="250">
        <v>0</v>
      </c>
      <c r="Q12" s="250">
        <v>0</v>
      </c>
      <c r="R12" s="250">
        <v>0</v>
      </c>
      <c r="S12" s="251">
        <v>0</v>
      </c>
      <c r="T12" s="249">
        <v>0</v>
      </c>
      <c r="U12" s="249">
        <v>0</v>
      </c>
      <c r="V12" s="252">
        <v>0</v>
      </c>
      <c r="W12" s="253"/>
    </row>
    <row r="13" spans="1:23" s="254" customFormat="1" ht="14.25" customHeight="1">
      <c r="A13" s="245" t="s">
        <v>293</v>
      </c>
      <c r="B13" s="246" t="s">
        <v>211</v>
      </c>
      <c r="C13" s="247" t="s">
        <v>3</v>
      </c>
      <c r="D13" s="248">
        <v>80000</v>
      </c>
      <c r="E13" s="249">
        <v>24000</v>
      </c>
      <c r="F13" s="249">
        <v>56000</v>
      </c>
      <c r="G13" s="249">
        <v>24000</v>
      </c>
      <c r="H13" s="249">
        <v>0</v>
      </c>
      <c r="I13" s="249">
        <v>10000</v>
      </c>
      <c r="J13" s="250">
        <v>46000</v>
      </c>
      <c r="K13" s="251">
        <v>0</v>
      </c>
      <c r="L13" s="250">
        <v>0</v>
      </c>
      <c r="M13" s="250">
        <v>0</v>
      </c>
      <c r="N13" s="252">
        <v>0</v>
      </c>
      <c r="O13" s="251">
        <v>10000</v>
      </c>
      <c r="P13" s="250">
        <v>0</v>
      </c>
      <c r="Q13" s="250">
        <v>0</v>
      </c>
      <c r="R13" s="250">
        <v>0</v>
      </c>
      <c r="S13" s="251">
        <v>46000</v>
      </c>
      <c r="T13" s="249">
        <v>0</v>
      </c>
      <c r="U13" s="249">
        <v>0</v>
      </c>
      <c r="V13" s="252">
        <v>0</v>
      </c>
      <c r="W13" s="253"/>
    </row>
    <row r="14" spans="1:23" s="254" customFormat="1" ht="12.75" customHeight="1">
      <c r="A14" s="245" t="s">
        <v>294</v>
      </c>
      <c r="B14" s="246" t="s">
        <v>295</v>
      </c>
      <c r="C14" s="247" t="s">
        <v>15</v>
      </c>
      <c r="D14" s="248">
        <v>217040</v>
      </c>
      <c r="E14" s="249">
        <v>12040</v>
      </c>
      <c r="F14" s="249">
        <v>197960</v>
      </c>
      <c r="G14" s="249">
        <v>12040</v>
      </c>
      <c r="H14" s="249">
        <v>205000</v>
      </c>
      <c r="I14" s="249">
        <v>0</v>
      </c>
      <c r="J14" s="250">
        <v>0</v>
      </c>
      <c r="K14" s="251">
        <v>205000</v>
      </c>
      <c r="L14" s="250">
        <v>0</v>
      </c>
      <c r="M14" s="250">
        <v>0</v>
      </c>
      <c r="N14" s="252">
        <v>0</v>
      </c>
      <c r="O14" s="251">
        <v>0</v>
      </c>
      <c r="P14" s="250">
        <v>0</v>
      </c>
      <c r="Q14" s="250">
        <v>0</v>
      </c>
      <c r="R14" s="250">
        <v>0</v>
      </c>
      <c r="S14" s="251">
        <v>0</v>
      </c>
      <c r="T14" s="249">
        <v>0</v>
      </c>
      <c r="U14" s="249">
        <v>0</v>
      </c>
      <c r="V14" s="252">
        <v>0</v>
      </c>
      <c r="W14" s="253"/>
    </row>
    <row r="15" spans="1:23" s="254" customFormat="1" ht="12" customHeight="1">
      <c r="A15" s="245" t="s">
        <v>296</v>
      </c>
      <c r="B15" s="246" t="s">
        <v>297</v>
      </c>
      <c r="C15" s="247" t="s">
        <v>3</v>
      </c>
      <c r="D15" s="248">
        <v>140000</v>
      </c>
      <c r="E15" s="249">
        <v>9600</v>
      </c>
      <c r="F15" s="249">
        <f>D15-E15</f>
        <v>130400</v>
      </c>
      <c r="G15" s="249">
        <v>9600</v>
      </c>
      <c r="H15" s="249">
        <v>0</v>
      </c>
      <c r="I15" s="249">
        <v>30400</v>
      </c>
      <c r="J15" s="250">
        <v>100000</v>
      </c>
      <c r="K15" s="251"/>
      <c r="L15" s="250">
        <v>0</v>
      </c>
      <c r="M15" s="250">
        <v>0</v>
      </c>
      <c r="N15" s="252">
        <v>0</v>
      </c>
      <c r="O15" s="251">
        <v>30400</v>
      </c>
      <c r="P15" s="250">
        <v>0</v>
      </c>
      <c r="Q15" s="250">
        <v>0</v>
      </c>
      <c r="R15" s="250">
        <v>0</v>
      </c>
      <c r="S15" s="251">
        <v>100000</v>
      </c>
      <c r="T15" s="249">
        <v>0</v>
      </c>
      <c r="U15" s="249">
        <v>0</v>
      </c>
      <c r="V15" s="252">
        <v>0</v>
      </c>
      <c r="W15" s="253"/>
    </row>
    <row r="16" spans="1:23" s="254" customFormat="1" ht="19.5" customHeight="1">
      <c r="A16" s="245" t="s">
        <v>298</v>
      </c>
      <c r="B16" s="246" t="s">
        <v>299</v>
      </c>
      <c r="C16" s="247" t="s">
        <v>212</v>
      </c>
      <c r="D16" s="248">
        <v>253218</v>
      </c>
      <c r="E16" s="249">
        <v>83218</v>
      </c>
      <c r="F16" s="249">
        <v>170000</v>
      </c>
      <c r="G16" s="249">
        <v>83218</v>
      </c>
      <c r="H16" s="249">
        <v>170000</v>
      </c>
      <c r="I16" s="250">
        <v>0</v>
      </c>
      <c r="J16" s="250">
        <v>0</v>
      </c>
      <c r="K16" s="251">
        <v>170000</v>
      </c>
      <c r="L16" s="250">
        <v>0</v>
      </c>
      <c r="M16" s="250">
        <v>0</v>
      </c>
      <c r="N16" s="252">
        <v>0</v>
      </c>
      <c r="O16" s="251"/>
      <c r="P16" s="250">
        <v>0</v>
      </c>
      <c r="Q16" s="250">
        <v>0</v>
      </c>
      <c r="R16" s="250">
        <v>0</v>
      </c>
      <c r="S16" s="251">
        <v>0</v>
      </c>
      <c r="T16" s="249">
        <v>0</v>
      </c>
      <c r="U16" s="249">
        <v>0</v>
      </c>
      <c r="V16" s="252">
        <v>0</v>
      </c>
      <c r="W16" s="253"/>
    </row>
    <row r="17" spans="1:23" s="254" customFormat="1" ht="36" customHeight="1">
      <c r="A17" s="245" t="s">
        <v>300</v>
      </c>
      <c r="B17" s="246" t="s">
        <v>301</v>
      </c>
      <c r="C17" s="247" t="s">
        <v>0</v>
      </c>
      <c r="D17" s="248">
        <v>16390400</v>
      </c>
      <c r="E17" s="249">
        <v>122059.52</v>
      </c>
      <c r="F17" s="249">
        <v>16268340.48</v>
      </c>
      <c r="G17" s="249">
        <f>D17-F17</f>
        <v>122059.51999999955</v>
      </c>
      <c r="H17" s="249">
        <v>425700</v>
      </c>
      <c r="I17" s="249">
        <f>5645000+65000</f>
        <v>5710000</v>
      </c>
      <c r="J17" s="250">
        <f>4173500+922600</f>
        <v>5096100</v>
      </c>
      <c r="K17" s="251">
        <v>425700</v>
      </c>
      <c r="L17" s="250">
        <v>0</v>
      </c>
      <c r="M17" s="250">
        <v>0</v>
      </c>
      <c r="N17" s="252">
        <v>0</v>
      </c>
      <c r="O17" s="251">
        <v>1000000</v>
      </c>
      <c r="P17" s="249">
        <f>4645000+65000</f>
        <v>4710000</v>
      </c>
      <c r="Q17" s="250">
        <v>0</v>
      </c>
      <c r="R17" s="250">
        <v>0</v>
      </c>
      <c r="S17" s="251">
        <f>1173500+922600</f>
        <v>2096100</v>
      </c>
      <c r="T17" s="249">
        <v>3000000</v>
      </c>
      <c r="U17" s="249">
        <v>0</v>
      </c>
      <c r="V17" s="252">
        <v>0</v>
      </c>
      <c r="W17" s="253"/>
    </row>
    <row r="18" spans="1:23" s="254" customFormat="1" ht="16.5">
      <c r="A18" s="245" t="s">
        <v>302</v>
      </c>
      <c r="B18" s="246" t="s">
        <v>303</v>
      </c>
      <c r="C18" s="247" t="s">
        <v>210</v>
      </c>
      <c r="D18" s="248">
        <v>1800000</v>
      </c>
      <c r="E18" s="249">
        <v>35387</v>
      </c>
      <c r="F18" s="249">
        <v>1764613</v>
      </c>
      <c r="G18" s="249"/>
      <c r="H18" s="249">
        <v>90000</v>
      </c>
      <c r="I18" s="249">
        <v>1674613</v>
      </c>
      <c r="J18" s="250">
        <v>0</v>
      </c>
      <c r="K18" s="251">
        <v>90000</v>
      </c>
      <c r="L18" s="250">
        <v>0</v>
      </c>
      <c r="M18" s="250">
        <v>0</v>
      </c>
      <c r="N18" s="252">
        <v>0</v>
      </c>
      <c r="O18" s="251">
        <f>I18-P18</f>
        <v>1174613</v>
      </c>
      <c r="P18" s="249">
        <v>500000</v>
      </c>
      <c r="Q18" s="250">
        <v>0</v>
      </c>
      <c r="R18" s="250">
        <v>0</v>
      </c>
      <c r="S18" s="251">
        <v>0</v>
      </c>
      <c r="T18" s="249">
        <v>0</v>
      </c>
      <c r="U18" s="249">
        <v>0</v>
      </c>
      <c r="V18" s="252">
        <v>0</v>
      </c>
      <c r="W18" s="253"/>
    </row>
    <row r="19" spans="1:23" s="254" customFormat="1" ht="24.75">
      <c r="A19" s="245" t="s">
        <v>304</v>
      </c>
      <c r="B19" s="246" t="s">
        <v>305</v>
      </c>
      <c r="C19" s="247">
        <v>2010</v>
      </c>
      <c r="D19" s="248">
        <v>1200000</v>
      </c>
      <c r="E19" s="250">
        <v>0</v>
      </c>
      <c r="F19" s="250">
        <v>1200000</v>
      </c>
      <c r="G19" s="250">
        <v>0</v>
      </c>
      <c r="H19" s="250">
        <v>0</v>
      </c>
      <c r="I19" s="250">
        <v>0</v>
      </c>
      <c r="J19" s="250">
        <v>1200000</v>
      </c>
      <c r="K19" s="251">
        <v>0</v>
      </c>
      <c r="L19" s="250">
        <v>0</v>
      </c>
      <c r="M19" s="250">
        <v>0</v>
      </c>
      <c r="N19" s="252">
        <v>0</v>
      </c>
      <c r="O19" s="262">
        <v>0</v>
      </c>
      <c r="P19" s="250">
        <v>0</v>
      </c>
      <c r="Q19" s="250">
        <v>0</v>
      </c>
      <c r="R19" s="250">
        <v>0</v>
      </c>
      <c r="S19" s="251">
        <v>700000</v>
      </c>
      <c r="T19" s="249">
        <v>500000</v>
      </c>
      <c r="U19" s="249">
        <v>0</v>
      </c>
      <c r="V19" s="252">
        <v>0</v>
      </c>
      <c r="W19" s="253"/>
    </row>
    <row r="20" spans="1:23" s="267" customFormat="1" ht="18" customHeight="1">
      <c r="A20" s="245" t="s">
        <v>306</v>
      </c>
      <c r="B20" s="263" t="s">
        <v>307</v>
      </c>
      <c r="C20" s="247">
        <v>2008</v>
      </c>
      <c r="D20" s="248">
        <v>436958</v>
      </c>
      <c r="E20" s="249">
        <v>0</v>
      </c>
      <c r="F20" s="264">
        <v>100000</v>
      </c>
      <c r="G20" s="264"/>
      <c r="H20" s="264">
        <v>436958</v>
      </c>
      <c r="I20" s="250">
        <v>0</v>
      </c>
      <c r="J20" s="250">
        <v>0</v>
      </c>
      <c r="K20" s="265">
        <v>339958</v>
      </c>
      <c r="L20" s="250">
        <v>0</v>
      </c>
      <c r="M20" s="250">
        <v>0</v>
      </c>
      <c r="N20" s="252">
        <v>97000</v>
      </c>
      <c r="O20" s="262">
        <v>0</v>
      </c>
      <c r="P20" s="250">
        <v>0</v>
      </c>
      <c r="Q20" s="250">
        <v>0</v>
      </c>
      <c r="R20" s="250">
        <v>0</v>
      </c>
      <c r="S20" s="251">
        <v>0</v>
      </c>
      <c r="T20" s="249">
        <v>0</v>
      </c>
      <c r="U20" s="249">
        <v>0</v>
      </c>
      <c r="V20" s="252">
        <v>0</v>
      </c>
      <c r="W20" s="266"/>
    </row>
    <row r="21" spans="1:23" s="267" customFormat="1" ht="16.5">
      <c r="A21" s="245" t="s">
        <v>308</v>
      </c>
      <c r="B21" s="263" t="s">
        <v>309</v>
      </c>
      <c r="C21" s="247">
        <v>2009</v>
      </c>
      <c r="D21" s="248">
        <v>280000</v>
      </c>
      <c r="E21" s="249">
        <v>0</v>
      </c>
      <c r="F21" s="249">
        <v>280000</v>
      </c>
      <c r="G21" s="264"/>
      <c r="H21" s="250">
        <v>0</v>
      </c>
      <c r="I21" s="264">
        <v>280000</v>
      </c>
      <c r="J21" s="250">
        <v>0</v>
      </c>
      <c r="K21" s="251">
        <v>0</v>
      </c>
      <c r="L21" s="250">
        <v>0</v>
      </c>
      <c r="M21" s="250">
        <v>0</v>
      </c>
      <c r="N21" s="252">
        <v>0</v>
      </c>
      <c r="O21" s="265">
        <v>230000</v>
      </c>
      <c r="P21" s="250">
        <v>0</v>
      </c>
      <c r="Q21" s="250">
        <v>0</v>
      </c>
      <c r="R21" s="268">
        <v>50000</v>
      </c>
      <c r="S21" s="251">
        <v>0</v>
      </c>
      <c r="T21" s="249">
        <v>0</v>
      </c>
      <c r="U21" s="249">
        <v>0</v>
      </c>
      <c r="V21" s="252">
        <v>0</v>
      </c>
      <c r="W21" s="266"/>
    </row>
    <row r="22" spans="1:23" s="267" customFormat="1" ht="24.75">
      <c r="A22" s="245" t="s">
        <v>310</v>
      </c>
      <c r="B22" s="263" t="s">
        <v>311</v>
      </c>
      <c r="C22" s="247">
        <v>2010</v>
      </c>
      <c r="D22" s="248">
        <v>340000</v>
      </c>
      <c r="E22" s="249">
        <v>0</v>
      </c>
      <c r="F22" s="249">
        <v>340000</v>
      </c>
      <c r="G22" s="264"/>
      <c r="H22" s="250">
        <v>0</v>
      </c>
      <c r="I22" s="264">
        <v>0</v>
      </c>
      <c r="J22" s="268">
        <v>340000</v>
      </c>
      <c r="K22" s="251">
        <v>0</v>
      </c>
      <c r="L22" s="250">
        <v>0</v>
      </c>
      <c r="M22" s="250">
        <v>0</v>
      </c>
      <c r="N22" s="252">
        <v>0</v>
      </c>
      <c r="O22" s="262">
        <v>0</v>
      </c>
      <c r="P22" s="250">
        <v>0</v>
      </c>
      <c r="Q22" s="250">
        <v>0</v>
      </c>
      <c r="R22" s="250">
        <v>0</v>
      </c>
      <c r="S22" s="265">
        <v>280000</v>
      </c>
      <c r="T22" s="249">
        <v>0</v>
      </c>
      <c r="U22" s="249">
        <v>0</v>
      </c>
      <c r="V22" s="269">
        <v>60000</v>
      </c>
      <c r="W22" s="266"/>
    </row>
    <row r="23" spans="1:41" s="254" customFormat="1" ht="12" customHeight="1">
      <c r="A23" s="245" t="s">
        <v>312</v>
      </c>
      <c r="B23" s="246" t="s">
        <v>313</v>
      </c>
      <c r="C23" s="247" t="s">
        <v>2</v>
      </c>
      <c r="D23" s="248">
        <v>510000</v>
      </c>
      <c r="E23" s="249">
        <v>0</v>
      </c>
      <c r="F23" s="248">
        <v>510000</v>
      </c>
      <c r="G23" s="249">
        <v>0</v>
      </c>
      <c r="H23" s="249">
        <v>430000</v>
      </c>
      <c r="I23" s="249">
        <v>50000</v>
      </c>
      <c r="J23" s="250">
        <v>30000</v>
      </c>
      <c r="K23" s="251">
        <v>230000</v>
      </c>
      <c r="L23" s="249">
        <v>0</v>
      </c>
      <c r="M23" s="249">
        <v>0</v>
      </c>
      <c r="N23" s="252">
        <v>200000</v>
      </c>
      <c r="O23" s="251">
        <v>50000</v>
      </c>
      <c r="P23" s="249">
        <v>0</v>
      </c>
      <c r="Q23" s="249">
        <v>0</v>
      </c>
      <c r="R23" s="250">
        <v>0</v>
      </c>
      <c r="S23" s="251">
        <v>50000</v>
      </c>
      <c r="T23" s="249">
        <v>0</v>
      </c>
      <c r="U23" s="249">
        <v>0</v>
      </c>
      <c r="V23" s="252">
        <v>0</v>
      </c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</row>
    <row r="24" spans="1:23" s="254" customFormat="1" ht="16.5">
      <c r="A24" s="245" t="s">
        <v>314</v>
      </c>
      <c r="B24" s="271" t="s">
        <v>258</v>
      </c>
      <c r="C24" s="272" t="s">
        <v>259</v>
      </c>
      <c r="D24" s="273">
        <v>720000</v>
      </c>
      <c r="E24" s="274">
        <v>0</v>
      </c>
      <c r="F24" s="250">
        <v>720000</v>
      </c>
      <c r="G24" s="274"/>
      <c r="H24" s="250">
        <v>0</v>
      </c>
      <c r="I24" s="274">
        <v>320000</v>
      </c>
      <c r="J24" s="250">
        <v>400000</v>
      </c>
      <c r="K24" s="251">
        <v>0</v>
      </c>
      <c r="L24" s="250">
        <v>0</v>
      </c>
      <c r="M24" s="250">
        <v>0</v>
      </c>
      <c r="N24" s="252">
        <v>0</v>
      </c>
      <c r="O24" s="275">
        <v>64000</v>
      </c>
      <c r="P24" s="250">
        <v>0</v>
      </c>
      <c r="Q24" s="249">
        <v>256000</v>
      </c>
      <c r="R24" s="276">
        <v>0</v>
      </c>
      <c r="S24" s="275">
        <v>80000</v>
      </c>
      <c r="T24" s="249">
        <v>0</v>
      </c>
      <c r="U24" s="274">
        <v>320000</v>
      </c>
      <c r="V24" s="252">
        <v>0</v>
      </c>
      <c r="W24" s="253"/>
    </row>
    <row r="25" spans="1:23" s="254" customFormat="1" ht="16.5">
      <c r="A25" s="245" t="s">
        <v>315</v>
      </c>
      <c r="B25" s="246" t="s">
        <v>316</v>
      </c>
      <c r="C25" s="247" t="s">
        <v>15</v>
      </c>
      <c r="D25" s="248">
        <v>172922</v>
      </c>
      <c r="E25" s="249">
        <v>17080</v>
      </c>
      <c r="F25" s="249">
        <v>184000</v>
      </c>
      <c r="G25" s="249"/>
      <c r="H25" s="249">
        <v>155842</v>
      </c>
      <c r="I25" s="250">
        <v>0</v>
      </c>
      <c r="J25" s="250">
        <v>0</v>
      </c>
      <c r="K25" s="249">
        <v>155842</v>
      </c>
      <c r="L25" s="250">
        <v>0</v>
      </c>
      <c r="M25" s="250">
        <v>0</v>
      </c>
      <c r="N25" s="252">
        <v>0</v>
      </c>
      <c r="O25" s="251">
        <v>0</v>
      </c>
      <c r="P25" s="249">
        <v>0</v>
      </c>
      <c r="Q25" s="250">
        <v>0</v>
      </c>
      <c r="R25" s="250">
        <v>0</v>
      </c>
      <c r="S25" s="251">
        <v>0</v>
      </c>
      <c r="T25" s="249">
        <v>0</v>
      </c>
      <c r="U25" s="249">
        <v>0</v>
      </c>
      <c r="V25" s="252">
        <v>0</v>
      </c>
      <c r="W25" s="253"/>
    </row>
    <row r="26" spans="1:23" s="254" customFormat="1" ht="16.5">
      <c r="A26" s="245" t="s">
        <v>317</v>
      </c>
      <c r="B26" s="246" t="s">
        <v>318</v>
      </c>
      <c r="C26" s="247" t="s">
        <v>15</v>
      </c>
      <c r="D26" s="248">
        <v>94672</v>
      </c>
      <c r="E26" s="249">
        <v>6933</v>
      </c>
      <c r="F26" s="249">
        <v>125000</v>
      </c>
      <c r="G26" s="249"/>
      <c r="H26" s="249">
        <v>87739</v>
      </c>
      <c r="I26" s="250">
        <v>0</v>
      </c>
      <c r="J26" s="250">
        <v>0</v>
      </c>
      <c r="K26" s="249">
        <v>87739</v>
      </c>
      <c r="L26" s="250">
        <v>0</v>
      </c>
      <c r="M26" s="250">
        <v>0</v>
      </c>
      <c r="N26" s="252">
        <v>0</v>
      </c>
      <c r="O26" s="251">
        <v>0</v>
      </c>
      <c r="P26" s="249">
        <v>0</v>
      </c>
      <c r="Q26" s="250">
        <v>0</v>
      </c>
      <c r="R26" s="250">
        <v>0</v>
      </c>
      <c r="S26" s="251">
        <v>0</v>
      </c>
      <c r="T26" s="249">
        <v>0</v>
      </c>
      <c r="U26" s="249">
        <v>0</v>
      </c>
      <c r="V26" s="252">
        <v>0</v>
      </c>
      <c r="W26" s="253"/>
    </row>
    <row r="27" spans="1:23" s="254" customFormat="1" ht="16.5">
      <c r="A27" s="245" t="s">
        <v>319</v>
      </c>
      <c r="B27" s="246" t="s">
        <v>320</v>
      </c>
      <c r="C27" s="247" t="s">
        <v>260</v>
      </c>
      <c r="D27" s="248">
        <v>130000</v>
      </c>
      <c r="E27" s="249">
        <v>0</v>
      </c>
      <c r="F27" s="249">
        <v>130000</v>
      </c>
      <c r="G27" s="249"/>
      <c r="H27" s="249">
        <v>7500</v>
      </c>
      <c r="I27" s="249">
        <v>122500</v>
      </c>
      <c r="J27" s="250">
        <v>0</v>
      </c>
      <c r="K27" s="251">
        <v>7500</v>
      </c>
      <c r="L27" s="250">
        <v>0</v>
      </c>
      <c r="M27" s="250">
        <v>0</v>
      </c>
      <c r="N27" s="252">
        <v>0</v>
      </c>
      <c r="O27" s="251">
        <f>75000+2500</f>
        <v>77500</v>
      </c>
      <c r="P27" s="249">
        <v>0</v>
      </c>
      <c r="Q27" s="250">
        <v>0</v>
      </c>
      <c r="R27" s="250">
        <v>45000</v>
      </c>
      <c r="S27" s="251">
        <v>0</v>
      </c>
      <c r="T27" s="249">
        <v>0</v>
      </c>
      <c r="U27" s="249">
        <v>0</v>
      </c>
      <c r="V27" s="252">
        <v>0</v>
      </c>
      <c r="W27" s="253"/>
    </row>
    <row r="28" spans="1:23" s="254" customFormat="1" ht="18.75" customHeight="1">
      <c r="A28" s="245" t="s">
        <v>321</v>
      </c>
      <c r="B28" s="246" t="s">
        <v>322</v>
      </c>
      <c r="C28" s="247" t="s">
        <v>259</v>
      </c>
      <c r="D28" s="248">
        <v>350000</v>
      </c>
      <c r="E28" s="249">
        <v>0</v>
      </c>
      <c r="F28" s="250">
        <v>350000</v>
      </c>
      <c r="G28" s="250">
        <v>0</v>
      </c>
      <c r="H28" s="250">
        <v>0</v>
      </c>
      <c r="I28" s="249">
        <v>25000</v>
      </c>
      <c r="J28" s="250">
        <v>325000</v>
      </c>
      <c r="K28" s="251">
        <v>0</v>
      </c>
      <c r="L28" s="250">
        <v>0</v>
      </c>
      <c r="M28" s="250">
        <v>0</v>
      </c>
      <c r="N28" s="252">
        <v>0</v>
      </c>
      <c r="O28" s="251">
        <v>25000</v>
      </c>
      <c r="P28" s="249">
        <v>0</v>
      </c>
      <c r="Q28" s="250">
        <v>0</v>
      </c>
      <c r="R28" s="250">
        <v>0</v>
      </c>
      <c r="S28" s="251">
        <v>225000</v>
      </c>
      <c r="T28" s="249">
        <v>0</v>
      </c>
      <c r="U28" s="249">
        <v>0</v>
      </c>
      <c r="V28" s="252">
        <v>100000</v>
      </c>
      <c r="W28" s="253"/>
    </row>
    <row r="29" spans="1:23" s="254" customFormat="1" ht="24.75">
      <c r="A29" s="245" t="s">
        <v>323</v>
      </c>
      <c r="B29" s="246" t="s">
        <v>324</v>
      </c>
      <c r="C29" s="247" t="s">
        <v>325</v>
      </c>
      <c r="D29" s="248">
        <v>425000</v>
      </c>
      <c r="E29" s="249">
        <v>0</v>
      </c>
      <c r="F29" s="250">
        <v>425000</v>
      </c>
      <c r="G29" s="250">
        <v>0</v>
      </c>
      <c r="H29" s="250">
        <v>0</v>
      </c>
      <c r="I29" s="250">
        <v>0</v>
      </c>
      <c r="J29" s="250">
        <v>30000</v>
      </c>
      <c r="K29" s="251">
        <v>0</v>
      </c>
      <c r="L29" s="250">
        <v>0</v>
      </c>
      <c r="M29" s="250">
        <v>0</v>
      </c>
      <c r="N29" s="252">
        <v>0</v>
      </c>
      <c r="O29" s="262">
        <v>0</v>
      </c>
      <c r="P29" s="249">
        <v>0</v>
      </c>
      <c r="Q29" s="250">
        <v>0</v>
      </c>
      <c r="R29" s="250">
        <v>0</v>
      </c>
      <c r="S29" s="251">
        <v>30000</v>
      </c>
      <c r="T29" s="249">
        <v>0</v>
      </c>
      <c r="U29" s="249">
        <v>0</v>
      </c>
      <c r="V29" s="252">
        <v>0</v>
      </c>
      <c r="W29" s="253"/>
    </row>
    <row r="30" spans="1:23" s="254" customFormat="1" ht="41.25">
      <c r="A30" s="245" t="s">
        <v>326</v>
      </c>
      <c r="B30" s="246" t="s">
        <v>420</v>
      </c>
      <c r="C30" s="247" t="s">
        <v>3</v>
      </c>
      <c r="D30" s="248">
        <v>500000</v>
      </c>
      <c r="E30" s="249">
        <v>45000</v>
      </c>
      <c r="F30" s="249">
        <v>455000</v>
      </c>
      <c r="G30" s="249">
        <v>45000</v>
      </c>
      <c r="H30" s="249">
        <v>15000</v>
      </c>
      <c r="I30" s="249">
        <v>200000</v>
      </c>
      <c r="J30" s="250">
        <v>240000</v>
      </c>
      <c r="K30" s="251">
        <v>15000</v>
      </c>
      <c r="L30" s="250">
        <v>0</v>
      </c>
      <c r="M30" s="250">
        <v>0</v>
      </c>
      <c r="N30" s="252">
        <v>0</v>
      </c>
      <c r="O30" s="251">
        <v>200000</v>
      </c>
      <c r="P30" s="249">
        <v>0</v>
      </c>
      <c r="Q30" s="250">
        <v>0</v>
      </c>
      <c r="R30" s="250">
        <v>0</v>
      </c>
      <c r="S30" s="251">
        <v>240000</v>
      </c>
      <c r="T30" s="249">
        <v>0</v>
      </c>
      <c r="U30" s="249">
        <v>0</v>
      </c>
      <c r="V30" s="252">
        <v>0</v>
      </c>
      <c r="W30" s="253"/>
    </row>
    <row r="31" spans="1:23" s="254" customFormat="1" ht="24.75">
      <c r="A31" s="245" t="s">
        <v>327</v>
      </c>
      <c r="B31" s="246" t="s">
        <v>328</v>
      </c>
      <c r="C31" s="247" t="s">
        <v>329</v>
      </c>
      <c r="D31" s="248">
        <v>450000</v>
      </c>
      <c r="E31" s="249">
        <v>0</v>
      </c>
      <c r="F31" s="249">
        <v>450000</v>
      </c>
      <c r="G31" s="249"/>
      <c r="H31" s="249">
        <v>0</v>
      </c>
      <c r="I31" s="249">
        <v>150000</v>
      </c>
      <c r="J31" s="250">
        <v>200000</v>
      </c>
      <c r="K31" s="251">
        <v>0</v>
      </c>
      <c r="L31" s="250">
        <v>0</v>
      </c>
      <c r="M31" s="250">
        <v>0</v>
      </c>
      <c r="N31" s="252">
        <v>0</v>
      </c>
      <c r="O31" s="251">
        <v>150000</v>
      </c>
      <c r="P31" s="249">
        <v>0</v>
      </c>
      <c r="Q31" s="250">
        <v>0</v>
      </c>
      <c r="R31" s="250">
        <v>0</v>
      </c>
      <c r="S31" s="251">
        <v>100000</v>
      </c>
      <c r="T31" s="249">
        <v>0</v>
      </c>
      <c r="U31" s="249">
        <v>0</v>
      </c>
      <c r="V31" s="252">
        <v>100000</v>
      </c>
      <c r="W31" s="253"/>
    </row>
    <row r="32" spans="1:23" s="254" customFormat="1" ht="27" customHeight="1">
      <c r="A32" s="245" t="s">
        <v>330</v>
      </c>
      <c r="B32" s="246" t="s">
        <v>331</v>
      </c>
      <c r="C32" s="247">
        <v>2009</v>
      </c>
      <c r="D32" s="248">
        <v>1000000</v>
      </c>
      <c r="E32" s="249">
        <v>0</v>
      </c>
      <c r="F32" s="249">
        <v>1000000</v>
      </c>
      <c r="G32" s="249"/>
      <c r="H32" s="249">
        <v>0</v>
      </c>
      <c r="I32" s="249">
        <v>1000000</v>
      </c>
      <c r="J32" s="250">
        <v>0</v>
      </c>
      <c r="K32" s="251">
        <v>0</v>
      </c>
      <c r="L32" s="250">
        <v>0</v>
      </c>
      <c r="M32" s="250">
        <v>0</v>
      </c>
      <c r="N32" s="252">
        <v>0</v>
      </c>
      <c r="O32" s="251">
        <v>350000</v>
      </c>
      <c r="P32" s="249">
        <v>0</v>
      </c>
      <c r="Q32" s="250">
        <v>0</v>
      </c>
      <c r="R32" s="250">
        <v>650000</v>
      </c>
      <c r="S32" s="251">
        <v>0</v>
      </c>
      <c r="T32" s="249">
        <v>0</v>
      </c>
      <c r="U32" s="249">
        <v>0</v>
      </c>
      <c r="V32" s="252">
        <v>0</v>
      </c>
      <c r="W32" s="253"/>
    </row>
    <row r="33" spans="1:23" s="254" customFormat="1" ht="13.5" customHeight="1">
      <c r="A33" s="245" t="s">
        <v>332</v>
      </c>
      <c r="B33" s="246" t="s">
        <v>247</v>
      </c>
      <c r="C33" s="247" t="s">
        <v>2</v>
      </c>
      <c r="D33" s="248">
        <v>600000</v>
      </c>
      <c r="E33" s="249">
        <v>0</v>
      </c>
      <c r="F33" s="249">
        <v>600000</v>
      </c>
      <c r="G33" s="249"/>
      <c r="H33" s="249">
        <v>30000</v>
      </c>
      <c r="I33" s="249">
        <v>0</v>
      </c>
      <c r="J33" s="250">
        <v>570000</v>
      </c>
      <c r="K33" s="251">
        <v>30000</v>
      </c>
      <c r="L33" s="250">
        <v>0</v>
      </c>
      <c r="M33" s="250">
        <v>0</v>
      </c>
      <c r="N33" s="252">
        <v>0</v>
      </c>
      <c r="O33" s="251">
        <v>0</v>
      </c>
      <c r="P33" s="249">
        <v>0</v>
      </c>
      <c r="Q33" s="250">
        <v>0</v>
      </c>
      <c r="R33" s="250">
        <v>0</v>
      </c>
      <c r="S33" s="251">
        <v>570000</v>
      </c>
      <c r="T33" s="249">
        <v>0</v>
      </c>
      <c r="U33" s="249">
        <v>0</v>
      </c>
      <c r="V33" s="252">
        <v>0</v>
      </c>
      <c r="W33" s="253"/>
    </row>
    <row r="34" spans="1:23" s="254" customFormat="1" ht="19.5" customHeight="1">
      <c r="A34" s="245" t="s">
        <v>333</v>
      </c>
      <c r="B34" s="246" t="s">
        <v>248</v>
      </c>
      <c r="C34" s="247" t="s">
        <v>260</v>
      </c>
      <c r="D34" s="248">
        <v>500000</v>
      </c>
      <c r="E34" s="249">
        <v>0</v>
      </c>
      <c r="F34" s="249">
        <v>500000</v>
      </c>
      <c r="G34" s="249"/>
      <c r="H34" s="249">
        <v>60000</v>
      </c>
      <c r="I34" s="249">
        <f>400000+40000</f>
        <v>440000</v>
      </c>
      <c r="J34" s="250">
        <v>0</v>
      </c>
      <c r="K34" s="251">
        <v>60000</v>
      </c>
      <c r="L34" s="250">
        <v>0</v>
      </c>
      <c r="M34" s="250">
        <v>0</v>
      </c>
      <c r="N34" s="252">
        <v>0</v>
      </c>
      <c r="O34" s="251">
        <v>440000</v>
      </c>
      <c r="P34" s="249">
        <v>0</v>
      </c>
      <c r="Q34" s="250">
        <v>0</v>
      </c>
      <c r="R34" s="250">
        <v>0</v>
      </c>
      <c r="S34" s="251">
        <v>0</v>
      </c>
      <c r="T34" s="249">
        <v>0</v>
      </c>
      <c r="U34" s="249">
        <v>0</v>
      </c>
      <c r="V34" s="252">
        <v>0</v>
      </c>
      <c r="W34" s="253"/>
    </row>
    <row r="35" spans="1:23" s="285" customFormat="1" ht="14.25" customHeight="1" thickBot="1">
      <c r="A35" s="277"/>
      <c r="B35" s="278"/>
      <c r="C35" s="279"/>
      <c r="D35" s="280">
        <f>SUM(D6:D34)</f>
        <v>31111052.2</v>
      </c>
      <c r="E35" s="280">
        <f>SUM(E6:E34)</f>
        <v>774166.72</v>
      </c>
      <c r="F35" s="280">
        <f aca="true" t="shared" si="0" ref="F35:K35">SUM(F6:F34)</f>
        <v>30058306.48</v>
      </c>
      <c r="G35" s="280">
        <f t="shared" si="0"/>
        <v>397217.51999999955</v>
      </c>
      <c r="H35" s="280">
        <f t="shared" si="0"/>
        <v>2308739</v>
      </c>
      <c r="I35" s="280">
        <f t="shared" si="0"/>
        <v>13397506</v>
      </c>
      <c r="J35" s="281">
        <f t="shared" si="0"/>
        <v>8914100</v>
      </c>
      <c r="K35" s="282">
        <f t="shared" si="0"/>
        <v>2011739</v>
      </c>
      <c r="L35" s="281">
        <v>0</v>
      </c>
      <c r="M35" s="281">
        <v>0</v>
      </c>
      <c r="N35" s="283">
        <v>0</v>
      </c>
      <c r="O35" s="282">
        <f aca="true" t="shared" si="1" ref="O35:V35">SUM(O6:O34)</f>
        <v>4686506</v>
      </c>
      <c r="P35" s="280">
        <f t="shared" si="1"/>
        <v>7710000</v>
      </c>
      <c r="Q35" s="281">
        <f t="shared" si="1"/>
        <v>256000</v>
      </c>
      <c r="R35" s="281">
        <f t="shared" si="1"/>
        <v>745000</v>
      </c>
      <c r="S35" s="282">
        <f t="shared" si="1"/>
        <v>4854100</v>
      </c>
      <c r="T35" s="280">
        <f t="shared" si="1"/>
        <v>3500000</v>
      </c>
      <c r="U35" s="280">
        <f t="shared" si="1"/>
        <v>320000</v>
      </c>
      <c r="V35" s="283">
        <f t="shared" si="1"/>
        <v>260000</v>
      </c>
      <c r="W35" s="284"/>
    </row>
    <row r="36" spans="1:23" s="292" customFormat="1" ht="13.5" customHeight="1">
      <c r="A36" s="286"/>
      <c r="B36" s="287"/>
      <c r="C36" s="288"/>
      <c r="D36" s="289"/>
      <c r="E36" s="290"/>
      <c r="F36" s="289"/>
      <c r="G36" s="289"/>
      <c r="H36" s="289"/>
      <c r="I36" s="289"/>
      <c r="J36" s="289"/>
      <c r="K36" s="289"/>
      <c r="L36" s="289"/>
      <c r="M36" s="289"/>
      <c r="N36" s="290"/>
      <c r="O36" s="289"/>
      <c r="P36" s="289"/>
      <c r="Q36" s="289"/>
      <c r="R36" s="289"/>
      <c r="S36" s="289"/>
      <c r="T36" s="289"/>
      <c r="U36" s="289"/>
      <c r="V36" s="289"/>
      <c r="W36" s="291"/>
    </row>
    <row r="37" ht="9.75">
      <c r="N37" s="293"/>
    </row>
    <row r="38" ht="9.75">
      <c r="N38" s="293"/>
    </row>
    <row r="39" ht="9.75">
      <c r="N39" s="290"/>
    </row>
    <row r="40" ht="9.75">
      <c r="N40" s="293"/>
    </row>
    <row r="41" ht="9.75">
      <c r="N41" s="293"/>
    </row>
    <row r="42" ht="9.75">
      <c r="N42" s="290"/>
    </row>
    <row r="43" ht="9.75">
      <c r="N43" s="293"/>
    </row>
    <row r="44" ht="9.75">
      <c r="N44" s="293"/>
    </row>
    <row r="45" ht="9.75">
      <c r="N45" s="293"/>
    </row>
    <row r="46" ht="9.75">
      <c r="N46" s="293"/>
    </row>
    <row r="47" ht="9.75">
      <c r="N47" s="293"/>
    </row>
    <row r="48" ht="9.75">
      <c r="N48" s="293"/>
    </row>
    <row r="49" ht="9.75">
      <c r="N49" s="293"/>
    </row>
    <row r="50" ht="9.75">
      <c r="N50" s="293"/>
    </row>
    <row r="51" ht="9.75">
      <c r="N51" s="293"/>
    </row>
    <row r="52" ht="9.75">
      <c r="N52" s="293"/>
    </row>
    <row r="53" ht="9.75">
      <c r="N53" s="293"/>
    </row>
    <row r="54" ht="9.75">
      <c r="N54" s="293"/>
    </row>
    <row r="55" ht="9.75">
      <c r="N55" s="293"/>
    </row>
    <row r="56" ht="9.75">
      <c r="N56" s="293"/>
    </row>
    <row r="57" ht="9.75">
      <c r="N57" s="293"/>
    </row>
    <row r="58" ht="9.75">
      <c r="N58" s="293"/>
    </row>
  </sheetData>
  <sheetProtection/>
  <mergeCells count="15">
    <mergeCell ref="D3:J3"/>
    <mergeCell ref="K3:V3"/>
    <mergeCell ref="D4:D5"/>
    <mergeCell ref="G4:G5"/>
    <mergeCell ref="H4:H5"/>
    <mergeCell ref="I4:I5"/>
    <mergeCell ref="J4:J5"/>
    <mergeCell ref="K4:N4"/>
    <mergeCell ref="O4:R4"/>
    <mergeCell ref="S4:V4"/>
    <mergeCell ref="A2:J2"/>
    <mergeCell ref="T2:V2"/>
    <mergeCell ref="A3:A5"/>
    <mergeCell ref="B3:B5"/>
    <mergeCell ref="C3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Małgorzata Jaworska</cp:lastModifiedBy>
  <cp:lastPrinted>2008-04-28T08:36:12Z</cp:lastPrinted>
  <dcterms:created xsi:type="dcterms:W3CDTF">2007-07-24T12:50:32Z</dcterms:created>
  <dcterms:modified xsi:type="dcterms:W3CDTF">2008-12-11T07:37:30Z</dcterms:modified>
  <cp:category/>
  <cp:version/>
  <cp:contentType/>
  <cp:contentStatus/>
</cp:coreProperties>
</file>