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615" windowHeight="12435" tabRatio="706" firstSheet="1" activeTab="3"/>
  </bookViews>
  <sheets>
    <sheet name="OKŁADKA_P" sheetId="1" r:id="rId1"/>
    <sheet name="TABELE" sheetId="2" r:id="rId2"/>
    <sheet name="PRZEDMIAR" sheetId="3" r:id="rId3"/>
    <sheet name="OKŁADKA_O" sheetId="4" r:id="rId4"/>
    <sheet name="ZESTAWIENIE" sheetId="5" r:id="rId5"/>
    <sheet name="OFERTOWY" sheetId="6" r:id="rId6"/>
  </sheets>
  <definedNames>
    <definedName name="_xlnm.Print_Area" localSheetId="5">'OFERTOWY'!$A$1:$H$255</definedName>
    <definedName name="_xlnm.Print_Area" localSheetId="3">'OKŁADKA_O'!$A$1:$I$45</definedName>
    <definedName name="_xlnm.Print_Area" localSheetId="0">'OKŁADKA_P'!$A$1:$I$48</definedName>
    <definedName name="_xlnm.Print_Area" localSheetId="2">'PRZEDMIAR'!$A$1:$H$258</definedName>
    <definedName name="_xlnm.Print_Area" localSheetId="1">'TABELE'!$A$1:$K$72</definedName>
    <definedName name="_xlnm.Print_Titles" localSheetId="5">'OFERTOWY'!$5:$6</definedName>
    <definedName name="_xlnm.Print_Titles" localSheetId="2">'PRZEDMIAR'!$5:$6</definedName>
  </definedNames>
  <calcPr fullCalcOnLoad="1"/>
</workbook>
</file>

<file path=xl/sharedStrings.xml><?xml version="1.0" encoding="utf-8"?>
<sst xmlns="http://schemas.openxmlformats.org/spreadsheetml/2006/main" count="1021" uniqueCount="459">
  <si>
    <t>M 29.30.01</t>
  </si>
  <si>
    <t>UMOCNIENIE KONSTRUKCJAMI KAMIENNYMI SKARP I DNA RZEK, KANALÓW I ROWÓW</t>
  </si>
  <si>
    <t>D 07.00.00</t>
  </si>
  <si>
    <t>OZNAKOWANIE I URZĄDZENIA BEZPIECZEŃSTWA RUCHU</t>
  </si>
  <si>
    <t>D 07.05.01</t>
  </si>
  <si>
    <t>Bariery ochronne stalowe</t>
  </si>
  <si>
    <t>M 29.00.00</t>
  </si>
  <si>
    <t>Lp.</t>
  </si>
  <si>
    <t>km</t>
  </si>
  <si>
    <t>RAZEM</t>
  </si>
  <si>
    <t>m</t>
  </si>
  <si>
    <t>D 01.01.01</t>
  </si>
  <si>
    <t>kg</t>
  </si>
  <si>
    <t>Sporządził:</t>
  </si>
  <si>
    <t>(podpis i pieczęć)</t>
  </si>
  <si>
    <t>CZĘŚĆ ZBIORCZA</t>
  </si>
  <si>
    <t>Wyszczególnienie robót</t>
  </si>
  <si>
    <t>Wartość w zł 
(netto)</t>
  </si>
  <si>
    <t>OGÓŁEM</t>
  </si>
  <si>
    <t>Jednostka</t>
  </si>
  <si>
    <t>Nazwa</t>
  </si>
  <si>
    <t>x</t>
  </si>
  <si>
    <t>Cena jednostkowa</t>
  </si>
  <si>
    <t>Wartość netto</t>
  </si>
  <si>
    <t>Wyszczególnienie elementów</t>
  </si>
  <si>
    <t>ROBOTY PRZYGOTOWAWCZE</t>
  </si>
  <si>
    <t>ROBOTY ZIEMNE</t>
  </si>
  <si>
    <t>ROBOTY PRZYOBIEKTOWE</t>
  </si>
  <si>
    <t>Numer  SST (podstawa wyceny)</t>
  </si>
  <si>
    <t>Numer pozycji cenowej</t>
  </si>
  <si>
    <t>Ilość</t>
  </si>
  <si>
    <t>Odtworzenie (wyznaczenie) trasy i punktów wysokościowych</t>
  </si>
  <si>
    <t>D 01.00.00</t>
  </si>
  <si>
    <t>D 02.00.00</t>
  </si>
  <si>
    <t>D 02.01.01</t>
  </si>
  <si>
    <t>Wykonanie wykopów w gruntach kategorii I-V</t>
  </si>
  <si>
    <t>ROBOTY DROGOWE</t>
  </si>
  <si>
    <t>D 05.00.00</t>
  </si>
  <si>
    <t>NAWIERZCHNIE</t>
  </si>
  <si>
    <t>D 05.03.05</t>
  </si>
  <si>
    <t>Nawierzchnia z betonu asfaltowego</t>
  </si>
  <si>
    <t>ROBOTY MOSTOWE</t>
  </si>
  <si>
    <t>01</t>
  </si>
  <si>
    <t>11</t>
  </si>
  <si>
    <t>Wyznaczenie trasy i punktów wysokościowych w terenie równinnym</t>
  </si>
  <si>
    <t>D 01.02.03</t>
  </si>
  <si>
    <t>Wyburzenie obiektów budowlanych</t>
  </si>
  <si>
    <t>D 04.00.00</t>
  </si>
  <si>
    <t>PODBUDOWY</t>
  </si>
  <si>
    <t>D 04.01.01</t>
  </si>
  <si>
    <t>Koryto wraz z profilowaniem i zagęszczaniem podłoża</t>
  </si>
  <si>
    <t>D 08.00.00</t>
  </si>
  <si>
    <t>ELEMENTY ULIC</t>
  </si>
  <si>
    <t>D 08.01.02</t>
  </si>
  <si>
    <t>M 28.00.00</t>
  </si>
  <si>
    <t>Osadzenie kotew zamocowań balustrad, barier, latarni, itp..</t>
  </si>
  <si>
    <t>M 27.00.00</t>
  </si>
  <si>
    <t>HYDROIZOLACJA</t>
  </si>
  <si>
    <t>M 27.01.00</t>
  </si>
  <si>
    <t>IZOLACJE POWŁOKOWE</t>
  </si>
  <si>
    <t>M 27.01.01</t>
  </si>
  <si>
    <t>POWŁOKA IZOLACYJNA BITUMICZNA - "NA ZIMNO"</t>
  </si>
  <si>
    <t>Wykonanie powłokowej izolacji bitumicznej układanej "na zimno" - powierzchnie pionowe</t>
  </si>
  <si>
    <t>51</t>
  </si>
  <si>
    <t>M 30.00.00</t>
  </si>
  <si>
    <t>ROBOTY NAWIERZCHNIOWE I ZABEZPIECZAJĄCE</t>
  </si>
  <si>
    <t>22</t>
  </si>
  <si>
    <t>Podbudowa z tłucznia kamiennego</t>
  </si>
  <si>
    <t>D 04.04.04</t>
  </si>
  <si>
    <t>12</t>
  </si>
  <si>
    <t>M 30.05.02</t>
  </si>
  <si>
    <t>D 04.03.01</t>
  </si>
  <si>
    <t>Oczyszczenie warstw konstrukcyjnych mechanicznie</t>
  </si>
  <si>
    <t>Skropienie warstw konstrukcyjnych emulsją asfaltową</t>
  </si>
  <si>
    <t>szt</t>
  </si>
  <si>
    <t>15</t>
  </si>
  <si>
    <t>71</t>
  </si>
  <si>
    <t>M 23.00.00</t>
  </si>
  <si>
    <t>USTROJE NOŚNE</t>
  </si>
  <si>
    <t>Koszt prefabrykowanych desek gzymsowych z betonu poliuretanowego</t>
  </si>
  <si>
    <t>IZOLACJE ARKUSZOWE</t>
  </si>
  <si>
    <t>M 27.02.01</t>
  </si>
  <si>
    <t>Koszt papy zgrzewalnej</t>
  </si>
  <si>
    <t>Wykonanie izolacji z papy zgrzewalnej na betonowych płaszczyznach poziomych - 1 x papa</t>
  </si>
  <si>
    <t>M 26.00.00</t>
  </si>
  <si>
    <t>ODWODNIENIE</t>
  </si>
  <si>
    <t>M 26.01.02</t>
  </si>
  <si>
    <t>SĄCZKI DLA ODWODNIENIA IZOLACJI</t>
  </si>
  <si>
    <t>M 26.01.03</t>
  </si>
  <si>
    <t>DRENY DLA ODWODNIENIA IZOLACJI</t>
  </si>
  <si>
    <t>Wykonanie drenów z kruszywa lakierowanego żywicami syntetycznymi z taśmą</t>
  </si>
  <si>
    <t>Krawężniki betonowe</t>
  </si>
  <si>
    <t>D 08.01.01</t>
  </si>
  <si>
    <t>Ustawienie krawężników betonowych o wymiarach 20x30cm na ławie betonowej z oporem</t>
  </si>
  <si>
    <t>Oczyszczenie i skropienie warstw konstrukcyjnych</t>
  </si>
  <si>
    <t>D 01.02.04</t>
  </si>
  <si>
    <t>Rozbiórka elementów dróg, ogrodzeń i przepustów</t>
  </si>
  <si>
    <t>zł (netto)</t>
  </si>
  <si>
    <t>Słownie</t>
  </si>
  <si>
    <t>VAT 23 %</t>
  </si>
  <si>
    <t>zł (brutto 23% VAT)</t>
  </si>
  <si>
    <t>M 22.51.01</t>
  </si>
  <si>
    <t>32</t>
  </si>
  <si>
    <t>52</t>
  </si>
  <si>
    <t>M 25.00.00</t>
  </si>
  <si>
    <t>URZĄDZENIA DYLATACYJNE</t>
  </si>
  <si>
    <t>WYPOSAŻENIE</t>
  </si>
  <si>
    <t>58</t>
  </si>
  <si>
    <t>Wyznaczenie punktów charakterystycznych dla robót umacniających brzegi i dno rzeki</t>
  </si>
  <si>
    <r>
      <t>Ogółem wartość robót</t>
    </r>
    <r>
      <rPr>
        <sz val="10"/>
        <rFont val="Arial"/>
        <family val="2"/>
      </rPr>
      <t>:</t>
    </r>
  </si>
  <si>
    <t>Część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</si>
  <si>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</si>
  <si>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</si>
  <si>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km1</t>
  </si>
  <si>
    <t>km2</t>
  </si>
  <si>
    <t>km rzeki</t>
  </si>
  <si>
    <t>Odtworzenie trasy drogi i mostu:</t>
  </si>
  <si>
    <t>dzielnik</t>
  </si>
  <si>
    <t>NAZWA ZADANIA:</t>
  </si>
  <si>
    <t xml:space="preserve">m </t>
  </si>
  <si>
    <t>RAZEM:</t>
  </si>
  <si>
    <t>Lp</t>
  </si>
  <si>
    <t>Element</t>
  </si>
  <si>
    <t>Długość</t>
  </si>
  <si>
    <t>Szerokosć</t>
  </si>
  <si>
    <t>Wysokość</t>
  </si>
  <si>
    <t>Objętość razem</t>
  </si>
  <si>
    <t>Objętość jednego elementu</t>
  </si>
  <si>
    <t>OGÓŁEM ROZBIÓRKI:</t>
  </si>
  <si>
    <t>14</t>
  </si>
  <si>
    <t>oczyszczenie warstw bitumicznych</t>
  </si>
  <si>
    <t>skropienie warstw bitumicznych</t>
  </si>
  <si>
    <t>długość barier</t>
  </si>
  <si>
    <t>stron</t>
  </si>
  <si>
    <t>długość</t>
  </si>
  <si>
    <t>96</t>
  </si>
  <si>
    <t>97</t>
  </si>
  <si>
    <t>M 23.30.00</t>
  </si>
  <si>
    <t>KAPY CHODNIKOWE</t>
  </si>
  <si>
    <t>KAPY CHODNIKOWA Z PREFABRYKOWANĄ DESKĄ GZYMSOWĄ</t>
  </si>
  <si>
    <t>M 23.30.06</t>
  </si>
  <si>
    <t>szerokość płyty</t>
  </si>
  <si>
    <t>długość płyty</t>
  </si>
  <si>
    <t>długość drenu</t>
  </si>
  <si>
    <t>mnożnik</t>
  </si>
  <si>
    <t>ilość sączków</t>
  </si>
  <si>
    <t>długośc dylatacji</t>
  </si>
  <si>
    <t>wysokość</t>
  </si>
  <si>
    <t>szerokość</t>
  </si>
  <si>
    <t>kotwy barieropor</t>
  </si>
  <si>
    <t>ciężar stali</t>
  </si>
  <si>
    <t>ilość</t>
  </si>
  <si>
    <t>PODATEK VAT 23%</t>
  </si>
  <si>
    <t>PRZEDMIAR ROBÓT</t>
  </si>
  <si>
    <t>Rozbiórki obiektów kubaturowych wraz z odwozem elementów i gruzu na składowisko Wykonawcy - elementy betonowe i żelbetowe</t>
  </si>
  <si>
    <t>głębokość</t>
  </si>
  <si>
    <t>M 22.00.00</t>
  </si>
  <si>
    <t>M 25.01.13</t>
  </si>
  <si>
    <t>współczynnik</t>
  </si>
  <si>
    <t>ilość betonu</t>
  </si>
  <si>
    <t>33</t>
  </si>
  <si>
    <t>M 22.51.00</t>
  </si>
  <si>
    <t>PODPORY I KONSTRUKCJE OPOROWE Z BETONU</t>
  </si>
  <si>
    <t>WZMOCNIENIE PODPORY PRZEZ ZWIEKSZENIE JEJ WYMIARÓW</t>
  </si>
  <si>
    <t>ilość podpór</t>
  </si>
  <si>
    <t>sztuk</t>
  </si>
  <si>
    <t>KORPUSY PODPÓR</t>
  </si>
  <si>
    <t>87</t>
  </si>
  <si>
    <t>M 23.10.00</t>
  </si>
  <si>
    <t>PŁYTY POMOSTU ZESPOLONE Z KONSTRUKCJĄ STALOWĄ</t>
  </si>
  <si>
    <t>M 23.10.01</t>
  </si>
  <si>
    <t>ŻELBETOWA PŁYTA POMOSTU ZESPOLONA Z KONSTRUKCJĄ STALOWĄ USTROJU NOŚNEGO</t>
  </si>
  <si>
    <t>Wykonanie zbrojenia płyty zespolonej ze stali klasy A-IIIN</t>
  </si>
  <si>
    <t>Pow. oczyszczenia niebitumiczne</t>
  </si>
  <si>
    <t>oczyszczenie warstw niebitumicznych</t>
  </si>
  <si>
    <t>skropienie warstw niebitumicznych</t>
  </si>
  <si>
    <t>24</t>
  </si>
  <si>
    <t>Objętość nasypu</t>
  </si>
  <si>
    <t>Objętość wykopu</t>
  </si>
  <si>
    <t>korpus 1</t>
  </si>
  <si>
    <t>RAZEM ROZBIÓRKA MOSTU x 15%:</t>
  </si>
  <si>
    <t xml:space="preserve">REMONT MOSTU </t>
  </si>
  <si>
    <t>Montaż saczków odwodnienia izolacji - sączki z HDPE śr. 48mm</t>
  </si>
  <si>
    <t>ilość drenów</t>
  </si>
  <si>
    <t>Dreny podlużne przy kraweżniku z odprowadzeniem do sączków</t>
  </si>
  <si>
    <t>długość deski</t>
  </si>
  <si>
    <t>obwód IP 450</t>
  </si>
  <si>
    <t>TABELA NR 2. ROBOTY BITUMICZNE</t>
  </si>
  <si>
    <t>całkowita</t>
  </si>
  <si>
    <t>Skropienie wastwy ochronnej na moście, warstwy wiążącej i odcinków dowiązania na drodze: wg tab. 2</t>
  </si>
  <si>
    <t>M 29.01.01</t>
  </si>
  <si>
    <t>ODWODNIENIE ZASYPKI PRZYCZÓŁKA</t>
  </si>
  <si>
    <t>ilosć</t>
  </si>
  <si>
    <t>długość rury</t>
  </si>
  <si>
    <t>wysokość przyczółka</t>
  </si>
  <si>
    <t>M 24.00.00</t>
  </si>
  <si>
    <t>ŁOŻYSKA</t>
  </si>
  <si>
    <t>M 24.03.01</t>
  </si>
  <si>
    <t>ŁOŻYSKA STALOWE LINIOWE</t>
  </si>
  <si>
    <t>Wykonanie odwodnienia zasypki przyczółka rurą perforowaną fi 125 mm otoczonej kruszywem łamanym 8/16 w osłonie geowłókniny</t>
  </si>
  <si>
    <r>
      <t>Montaż prefabrykowanych desek gzymsowych z betonu poliuretanowego o kubaturze do 0,1m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/szt</t>
    </r>
  </si>
  <si>
    <r>
      <t>m</t>
    </r>
    <r>
      <rPr>
        <b/>
        <vertAlign val="superscript"/>
        <sz val="8"/>
        <rFont val="Arial"/>
        <family val="2"/>
      </rPr>
      <t>2</t>
    </r>
  </si>
  <si>
    <t>Wykonanie podbudowy z tłucznia kamiennego 0/31,5, gr. w-wy 20cm</t>
  </si>
  <si>
    <t>Wykonanie podbudowy z tłucznia kamiennego 0/31,5, gr. w-wy 20cm. Obmiar wg tab. 2</t>
  </si>
  <si>
    <t>Ustawienie barier ochronnych stalowych jednostronnych - przekładkowych typu SP-04</t>
  </si>
  <si>
    <t>Koszt prefabrykowanych desek gzymsowych z betonu poliuretanowego 4x50x100 cm</t>
  </si>
  <si>
    <t>..........................................</t>
  </si>
  <si>
    <t>Powierzchnia koryta</t>
  </si>
  <si>
    <t>Powierzchnia w-wy mrozoochronnej z pospółki</t>
  </si>
  <si>
    <t>Pow. podbudowy z tłucznia kamiennego</t>
  </si>
  <si>
    <t>Powierzchnie oszacowano na podstawie rysunku sytuacyjnego</t>
  </si>
  <si>
    <t>Koryta wykonywane mechanicznie wraz z profilowaniem i zagęszczaniem podłoża w gruntach kat. I-VI, głębokość koryta 49cm</t>
  </si>
  <si>
    <t>D 04.02.02</t>
  </si>
  <si>
    <t>Warstwa mrozoochronna</t>
  </si>
  <si>
    <r>
      <t>m</t>
    </r>
    <r>
      <rPr>
        <vertAlign val="superscript"/>
        <sz val="10"/>
        <rFont val="Arial Narrow"/>
        <family val="2"/>
      </rPr>
      <t>2</t>
    </r>
  </si>
  <si>
    <t>M 21.00.00</t>
  </si>
  <si>
    <t>FUNDAMENTY</t>
  </si>
  <si>
    <t>M 21.54.00</t>
  </si>
  <si>
    <t>ŁAWY FUNDAMENTOWE</t>
  </si>
  <si>
    <t>M 21.54.01</t>
  </si>
  <si>
    <t>WZMACNIANIE ŁAWY POPRZEZ ZWIEKSZENIE JEJ WYMIARÓW - ZBROJENIE W ZESTAWIENIU CAŁOŚCIOWYM</t>
  </si>
  <si>
    <t>ilosć betonu</t>
  </si>
  <si>
    <t>ilość wierceń</t>
  </si>
  <si>
    <t>długość wierceń</t>
  </si>
  <si>
    <t>Wykonanie wzmocnienia ławy fundamentowej z betonu C25/30 (B30) - na wodzie</t>
  </si>
  <si>
    <t>Wykonanie zbrojenia - stal kl. A-IIIN</t>
  </si>
  <si>
    <t>39</t>
  </si>
  <si>
    <t>36</t>
  </si>
  <si>
    <t>Wywiercenie otworów i osadzenie kotew stalowych o średnicy do 16 mm włącznie i o długości od 201 do 500mm - nad wodą na kleju na bazie żywic epoksydowych</t>
  </si>
  <si>
    <t>Zakup, transport  i montaż zbrojenia ze stali kl. A-IIIN</t>
  </si>
  <si>
    <t>ilość łożysk</t>
  </si>
  <si>
    <r>
      <t>m</t>
    </r>
    <r>
      <rPr>
        <b/>
        <vertAlign val="superscript"/>
        <sz val="10"/>
        <rFont val="Arial"/>
        <family val="2"/>
      </rPr>
      <t>3</t>
    </r>
  </si>
  <si>
    <t>M 29.30.00</t>
  </si>
  <si>
    <t>ROBOTY REGULACYJNE</t>
  </si>
  <si>
    <t>Wykonanie narzutu kamiennego z brzegu</t>
  </si>
  <si>
    <t>Wykonanie opaski kamiennej z kamienia łamanego o średnicy kamienia min. 50 cm z uszczelnieniem opaski na powierzchni sposobem brukarskim z zaklinowaniem szczelin kamieniem o srednicy 30 cm z dodatkowym zasypaniem ziemią i obsianiem traw - dowiązanie umocnieniami do brzegu rzeki na końcu i na początku umocnień</t>
  </si>
  <si>
    <t>most</t>
  </si>
  <si>
    <t>26</t>
  </si>
  <si>
    <t>Wykonanie nawierzchni z betonu asfaltowego o uziarnieniu 0/12,8 warstwa ścieralna gr. w-wy 4cm - na obiekcie i na dojazdach. Obmiar wg tab. 2</t>
  </si>
  <si>
    <t>2.1</t>
  </si>
  <si>
    <t>2.</t>
  </si>
  <si>
    <t>2.2</t>
  </si>
  <si>
    <t>2.3</t>
  </si>
  <si>
    <t>2.4</t>
  </si>
  <si>
    <t>2.6</t>
  </si>
  <si>
    <t>1.1</t>
  </si>
  <si>
    <t>Gmina Jaśliska</t>
  </si>
  <si>
    <t>38-485 Jaśliska</t>
  </si>
  <si>
    <t>Jaśliska 171</t>
  </si>
  <si>
    <t>(nazwa i adres Inwestora)</t>
  </si>
  <si>
    <t>................................</t>
  </si>
  <si>
    <t>ZESTAWIENIE ZBIORCZE</t>
  </si>
  <si>
    <t>Współczynnik</t>
  </si>
  <si>
    <t>wartość końcowa</t>
  </si>
  <si>
    <t>TABELA NR 3. ROBOTY ZIEMNE RZEKA</t>
  </si>
  <si>
    <t>kg/m3</t>
  </si>
  <si>
    <t xml:space="preserve">przekró płytyj </t>
  </si>
  <si>
    <t>m2</t>
  </si>
  <si>
    <t>dodatek</t>
  </si>
  <si>
    <t>Wykonanie warstwy mrozoochronnej gr. w-wy do 20cm</t>
  </si>
  <si>
    <t>Wykonanie warstwy mrozoochronnej z pospółki, w-wa gr. 20cm-obmiar wg tab. 2</t>
  </si>
  <si>
    <t>Oczyszczenie warstwy ochronnej na moście i warstwy podbudowy na drodze. Powierzchnia wg tab. 2</t>
  </si>
  <si>
    <t>ciężar jednej sztuki</t>
  </si>
  <si>
    <t>Powierzchnia boczna przyczółków ulegająca zakryciu.</t>
  </si>
  <si>
    <t>Remont mostu w ciągu drogi gminnej publicznej Nr G114536 w miejscowości Jaśliska w km 0+543</t>
  </si>
  <si>
    <t>Data opracowania: marzec 2016</t>
  </si>
  <si>
    <t>62</t>
  </si>
  <si>
    <t>analogia</t>
  </si>
  <si>
    <t xml:space="preserve">Rozebranie balustrad stalowych na moście. Materiał z rozbiórki (stal) do wykorzystania w gestii Zamawiajacego. </t>
  </si>
  <si>
    <t>D 02.03.01</t>
  </si>
  <si>
    <t>Wykonanie nasypów</t>
  </si>
  <si>
    <t>Wykonanie nasypów mechanicznie z gr. kat. I-V - z uzyskanego wykopu</t>
  </si>
  <si>
    <t>Nasypy - część rzeczna, uformowaniem skarp rzeki z gruntu uzyskanego z wykopu.</t>
  </si>
  <si>
    <t xml:space="preserve">Zakup, transport i montaż barier typu SP-04 wraz z elementami odblaskowymi co 4m z zakończeniem łącznikiem czołowym pojedyńczym. </t>
  </si>
  <si>
    <t>Obramowanie od strony jezdni na długości adaptacji dojazdów.</t>
  </si>
  <si>
    <t>korpus 2</t>
  </si>
  <si>
    <t>fundament prz. J.</t>
  </si>
  <si>
    <t>skrzydełko - 1</t>
  </si>
  <si>
    <t>skrzydełko - 2</t>
  </si>
  <si>
    <t>skrzydełko - 3</t>
  </si>
  <si>
    <t>skrzydełko - 4</t>
  </si>
  <si>
    <t>Rozebranie częściowe ław fundamentowych. Skucie od czoła skorodowanych powierzchni betonowych skrzydeł i podpór (gr. ok 5cm). Obmiar wg tab. 1.</t>
  </si>
  <si>
    <t>od strony Jaślisk</t>
  </si>
  <si>
    <t>fundament filara pb</t>
  </si>
  <si>
    <t>fundament filara pg</t>
  </si>
  <si>
    <t>od str. DrWoj</t>
  </si>
  <si>
    <t>Rozebranie balustrad stalowych na moście i na dojazdach</t>
  </si>
  <si>
    <t>(20,9+2x2,0)x2</t>
  </si>
  <si>
    <t>Pow. oczyszczenia bitumiczne</t>
  </si>
  <si>
    <t>M 23.52.01</t>
  </si>
  <si>
    <t>05.</t>
  </si>
  <si>
    <t>Założono 10m3 elementów drewnianych na rusztowanie na przęsło</t>
  </si>
  <si>
    <t>M 23.52.00</t>
  </si>
  <si>
    <t>PRZĘSŁA STALOWE</t>
  </si>
  <si>
    <t>RENOWACJA POWŁOKI MALARSKIEJ PRZĘSŁA STALOWEGO</t>
  </si>
  <si>
    <t>M 23.51.01</t>
  </si>
  <si>
    <t>31</t>
  </si>
  <si>
    <t>Wykonanie wzmocnienia przęsła betonowego betonem C25/30 - nad wodą</t>
  </si>
  <si>
    <t>Wywiercenie otworów i osadzenie kotew - na płycie od góry</t>
  </si>
  <si>
    <t>głębokośc</t>
  </si>
  <si>
    <t>Wywiercenie otworów Ø14mm L=12cm i osadzenie kotew Ø10mm L=10cm, na kleju z żywic epoksydowych</t>
  </si>
  <si>
    <t>M 23.05.01 analogia</t>
  </si>
  <si>
    <t>Zabezpieczenie antykorozyjne konstrukcji stalowej
poprzez malowanie farbami na bazie żywic EP i PUR</t>
  </si>
  <si>
    <t>powłoka gruntowa PUR - grubość warstwy min. 100
mm</t>
  </si>
  <si>
    <t>Oczyszczenie konstrukcji stalowej do stopnia
czystości P Sa 2 1/2</t>
  </si>
  <si>
    <t>Oczyszczenie konstrukcji stalowej do stopnia
czystości P Sa 2 1/2 wraz z zabezpieczeniem terenu
przed przedostaniem się odpadów po oczyszczeniu
do wód rzeki (rusztowania, plandeki, podwieszenia,
utylizacja odpadów)</t>
  </si>
  <si>
    <t>Papa na płycie pomostu. Powierzchnia netto (bez zakładów). W cenie ostatecznej ująć powierzchnię na zakłady izolacji</t>
  </si>
  <si>
    <t>Wykonanie wzmocnienia korpusów podpór z betonu C25/30 (B30) - nad wodą wraz z deskowaniem i pielęgnacją</t>
  </si>
  <si>
    <t>poprz. C 300</t>
  </si>
  <si>
    <t>M 24.05.01 analogia</t>
  </si>
  <si>
    <t>Zabezpieczenie antykorozyjne łożysk
poprzez malowanie farbami na bazie żywic EP i PUR</t>
  </si>
  <si>
    <t>Oczyszczenie łożysk do stopnia
czystości P Sa 2 1/2</t>
  </si>
  <si>
    <t>PRZEKRYCIE DYLATACYJNE - "UCIĄGLENIE NAWIERZCHNI"</t>
  </si>
  <si>
    <t>Wykonanie przekrycia dylatacyjnego "uciąglenie nawierzchni"</t>
  </si>
  <si>
    <t>szerokość przyczółka</t>
  </si>
  <si>
    <t>długość skrzydła</t>
  </si>
  <si>
    <t>wysokość skrzydła</t>
  </si>
  <si>
    <t>M 28.01.01</t>
  </si>
  <si>
    <t>Montaż balustrady stalowej "szczeblinkowej" o wysokości h=1100 mm</t>
  </si>
  <si>
    <t>Montaż balustrady stalowej "szczeblinkowej" o wysokości h=1100 mm. Ilość stali wg rysunku konstrukcyjnego.</t>
  </si>
  <si>
    <t>Wytworzenie balustrady stalowej "szczeblinkowej" o wysokości h=1100 mm</t>
  </si>
  <si>
    <t>81</t>
  </si>
  <si>
    <t>Zabezpieczenie antykorozyjne balustrad poprzez metalizację oraz doszczelnienie farbami na bazie żywic EP i PIUR</t>
  </si>
  <si>
    <t>waga 1m</t>
  </si>
  <si>
    <t>powierzchnia</t>
  </si>
  <si>
    <t>NAWIERZCHNIA Z ŻYWIC SYNTETYCZNYCH</t>
  </si>
  <si>
    <t>Wykonanie i demontaż rusztowań nad wodą</t>
  </si>
  <si>
    <t>2.5</t>
  </si>
  <si>
    <t xml:space="preserve">Wykopy - przy wykonaniu umocnienia brzegów rzeki, na przerzut z ponownym uformowaniem skarp rzeki. Grunt do ponownego wykorzystania w ilości zgodnej z tab. Nr 3. Grunt do ponownego wbudowania na miejscu budowy w skarpy rzeki - wbudowanie, plantowanie, obsianie trawą </t>
  </si>
  <si>
    <t>Roboty ziemne poprzeczne (bez transportu) wykonywane mechanicznie w gr. kat. I-V - wbudowanie w skarpy rzeki (20% dodatku)</t>
  </si>
  <si>
    <t xml:space="preserve">TABELA NR 1. ROZBIÓRKA ISTNIEJĄCEGO MOSTU-wg Rysunek geometrii </t>
  </si>
  <si>
    <t>Powierzchnia warstwy ścieralnej z AC11S</t>
  </si>
  <si>
    <t>LP</t>
  </si>
  <si>
    <t>Km</t>
  </si>
  <si>
    <t>Roboty ziemne</t>
  </si>
  <si>
    <t>Zdj. humusu</t>
  </si>
  <si>
    <t>Plantowanie</t>
  </si>
  <si>
    <t>objętość</t>
  </si>
  <si>
    <t>suma algebr.</t>
  </si>
  <si>
    <t>pow.</t>
  </si>
  <si>
    <t>W</t>
  </si>
  <si>
    <t>N</t>
  </si>
  <si>
    <r>
      <t>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</si>
  <si>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[m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</si>
  <si>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[m]</t>
  </si>
  <si>
    <t>ODCINEK OD STRONY DROGI WOJEWÓDZKIEJ</t>
  </si>
  <si>
    <t>P1</t>
  </si>
  <si>
    <t>P2</t>
  </si>
  <si>
    <t>PM</t>
  </si>
  <si>
    <t>ODCINEK OD STRONY JAŚLISK</t>
  </si>
  <si>
    <t>KM</t>
  </si>
  <si>
    <t>P3</t>
  </si>
  <si>
    <t>P4</t>
  </si>
  <si>
    <t>Tabela robót ziemnych - odcinek korekty koryta potoku</t>
  </si>
  <si>
    <t>Humusowanie</t>
  </si>
  <si>
    <t>L1</t>
  </si>
  <si>
    <t>L2</t>
  </si>
  <si>
    <t>L4</t>
  </si>
  <si>
    <t>L5</t>
  </si>
  <si>
    <t>L6</t>
  </si>
  <si>
    <t>TABELA NR 4. Tabela robót ziemnych - odcinki wyszerzenia drogi</t>
  </si>
  <si>
    <t>1,0x8,5x2</t>
  </si>
  <si>
    <t xml:space="preserve">Rozebranie podbudowy z kruszywa o grubości do 60 cm na długości wykopu roboczego przy wykonaniu poprzecznic zamykających na końcach przyczółków, materiał do wbudowania na miejscu. </t>
  </si>
  <si>
    <t>Rozebranie podbudowy z kruszywa o średniej grubości do 60 cm</t>
  </si>
  <si>
    <t>Wykopy - część drogowa, na przerzut (wg tabeli nr4)</t>
  </si>
  <si>
    <t>uwaga: grunt pozyskany z wykopu wbudować w skarpę potoku</t>
  </si>
  <si>
    <t>Nasypy - część drogowa (tabela nr 4)</t>
  </si>
  <si>
    <t>Koryto na całej szerokości korpusu drogi pod wykonanie warstwy mrozoochronnej i podbudowy tłuczniowej</t>
  </si>
  <si>
    <r>
      <t>m</t>
    </r>
    <r>
      <rPr>
        <vertAlign val="superscript"/>
        <sz val="10"/>
        <rFont val="Arial"/>
        <family val="2"/>
      </rPr>
      <t>3</t>
    </r>
  </si>
  <si>
    <t>Wykonanie nawierzchni z betonu asfaltowego AC16W, warstwa ochronna/wiążąca gr. w-wy 4 cm (na moście) i 5 cm (na odcinku drogi) - analogia</t>
  </si>
  <si>
    <t>Wykonanie nawierzchni z betonu asfaltowego AC16W warstwa ochronną na moście, gr. w-wy 4cm. Obmiar wg tab. 2</t>
  </si>
  <si>
    <t>Wykonanie nawierzchni z betonu asfaltowego AC16W warstwa wiążąca na odcinków dojazdu, gr. w-wy 5cm. Obmiar wg tab. 2</t>
  </si>
  <si>
    <t>Powierzchnia warstwy ochr./wiąż. z AC16W</t>
  </si>
  <si>
    <t>Wykonanie nawierzchni z betonu asfaltowego AC11S warstwa ścieralna gr. w-wy 4cm</t>
  </si>
  <si>
    <t>D 06.00.00</t>
  </si>
  <si>
    <t>ROBOTY WYKOŃCZENIOWE</t>
  </si>
  <si>
    <t>D 06.01.01</t>
  </si>
  <si>
    <t>Umocnienie skarp, rowów i ścieków</t>
  </si>
  <si>
    <t>02
04</t>
  </si>
  <si>
    <t>Reczne plantowanie skarp i dna wykopów oraz korony nasypów w gruntach kat. I III</t>
  </si>
  <si>
    <t>Powierzchnia umocnień stożków  i skarpy drogi (wg tabeli 4):</t>
  </si>
  <si>
    <t>Humusowanie z obsianiem skarp przy grubości humusu 5cm</t>
  </si>
  <si>
    <t>Powierzchnia humusowania wg tabeli 3: A=71m2</t>
  </si>
  <si>
    <t>D 06.01.03</t>
  </si>
  <si>
    <t>Umocnienie dna rowu i ścieków brukowcem o gr. 16-20 cm z kamienia łamanego, układanego na podsypce cementowo-piaskowej, spoiny wypełnione zaprawą cementową</t>
  </si>
  <si>
    <t>Umocnienie rowu od strony dr. Wojewódzkiej i skarpy przy skrzydle. Rów A=L*b=24*2,4=57,6. Skarpa A=2,5*5=12,5</t>
  </si>
  <si>
    <t>D 06.01.06</t>
  </si>
  <si>
    <t>21</t>
  </si>
  <si>
    <t>Umocnienie skarp płytami ażurowymi 60x40x10 cm (35 kg/szt.). Wypełnienie wolnych przestrzeni humusem i obsianie trawą, podsypka cem.-piaskowa 5cm. Płyty kotwione do skarpy.</t>
  </si>
  <si>
    <r>
      <t>Umocnienie skarp odcinka drogi od strony Jaślisk. Obmiar wg tabeli 4: A=59,5m</t>
    </r>
    <r>
      <rPr>
        <vertAlign val="superscript"/>
        <sz val="10"/>
        <rFont val="Arial Narrow"/>
        <family val="2"/>
      </rPr>
      <t>2</t>
    </r>
  </si>
  <si>
    <t>2.7</t>
  </si>
  <si>
    <t>D 07.06.06</t>
  </si>
  <si>
    <t>Urządzenia - poręcze sztywne</t>
  </si>
  <si>
    <t>Ustawienie poręczy ochronnych sztywnych z pochwytami i poręczami z rur stalowych oraz o rozstawie słupków z rur co 2,5m</t>
  </si>
  <si>
    <t>Ustawienie balustrady stalowej typu U-11a w linii balustrady na obiekcie na długości po 2,5m z każdej strony. L=2,5x4=10mb</t>
  </si>
  <si>
    <t>D 08.03.01</t>
  </si>
  <si>
    <t>Obrzeża betonowe</t>
  </si>
  <si>
    <t>Ustawienie obrzeży betonowych w wymiarach 8x30cm</t>
  </si>
  <si>
    <t>Ustawienie obrzeży betonowych w wymiarach 8x30cm na ławie betonowej z oporem w jako opornik pod umocnienia skarp drogi (wg rysunku ogólnego widok z góry): L=8,5*2=17m</t>
  </si>
  <si>
    <t>Kotwy średnicy 16mm długości osadzenia 30cm; otwór srednicy 20mm długości 320mm. Pozycja wiercenia: pozioma. Obmiar wg rysunków zbrojenia ławy fundamentowej przyczółka i filara</t>
  </si>
  <si>
    <t>Wywiercenie otworów i osadzenie kotew stalowych o średnicy do 16 mm</t>
  </si>
  <si>
    <t>Wykonanie zbrojenia wzmocnienia ławy fundamentowej.</t>
  </si>
  <si>
    <t>Wzmocnienie ławy filara wraz z usunięciem gruntu wokół filara, utrzymaniem poziomu zwierciadła wody poniżej poziomu robót poprzez pompowanie wody, wykonanie tymczasowej grobli, oczyszczenie powierzchni skuwanej. Obmiar wg rys. 8 "Zbrojenie remontu ławy fundamentowej filara" - dodatek na wypełnienie przestrzeni pod istniejącym korpusem</t>
  </si>
  <si>
    <t xml:space="preserve">V=7,0 + 1 </t>
  </si>
  <si>
    <t>V=21,1 + 1</t>
  </si>
  <si>
    <t>Fundament przyczółka: G=529 kg; Fundament filara: G=1768</t>
  </si>
  <si>
    <t>Wykonanie wzmocnienia przyczółków i skrzydeł z betonu C25/30 (B30) - nad wodą. W pozycji tej ująć koszt wykonania rusztowań nad wodą. Obmiar wg rys. 10. Zbrojenie remontu korpusów i skrzydeł przyczółków.</t>
  </si>
  <si>
    <t>V=10,0m</t>
  </si>
  <si>
    <t>Wykonanie wzmocnienia słupów filara z betonu C25/30 (B30) - nad wodą. W pozycji tej ująć koszt wykonania rusztowań nad wodą. Obmiar wg rys. 7. Zbrojenie remontu słupów i oczepu filara</t>
  </si>
  <si>
    <t>V=3 x 1,0</t>
  </si>
  <si>
    <t>Wykonanie wzmocnienia oczepu filara z betonu C25/30 (B30) - nad wodą. W pozycji tej ująć koszt wykonania rusztowań nad wodą. Obmiar wg rys. 7. Zbrojenie remontu słupów i oczepu filara</t>
  </si>
  <si>
    <t>V=0,9</t>
  </si>
  <si>
    <t>Wywiercenie otworów i osadzenie kotew stalowych o średnicy od 12 do 16 mm włącznie i o długości od 201 do 500mm - nad wodą na kleju na bazie żywic epoksydowych</t>
  </si>
  <si>
    <t>Wzmocnienie ławy przyczółka od strony Jaślisk wraz z usunięciem gruntu wokół przyczółka, utrzymaniem poziomu zwierciadła wody poniżej poziomu robót poprzez pompowanie wody, wykonanie tymczasowej grobli, oczyszczenie powierzchni skuwanej. Obmiar wg rys. 11 "Zbrojenie odsadzki fundamentu przyczółka" - dodatek na wypełnienie przestrzeni pod istniejącym korpusem</t>
  </si>
  <si>
    <t>ilość słupów filara</t>
  </si>
  <si>
    <t>Kotwy zespolenia płaszcza ze słupami filara średnicy 12mm długości osadzenia 20cm; otwór srednicy 14mm długości 200mm. Pozycja wiercenia:pionowa. Obmiar wg rysunku 7. Zbrojenie remontu słupów i oczepu filara</t>
  </si>
  <si>
    <t>filar</t>
  </si>
  <si>
    <t>przyczółki</t>
  </si>
  <si>
    <r>
      <t xml:space="preserve">Wykonanie systemu powłokowego do
zabezpieczania konstrukcji stalowej podczas
renowacji. Wykonanie renowacji powłoki malarskiej
istniejących balustrad na moście. Powłoki malarskie
wg systemu R5 PUR - farby poliuretanowe. Grubość
powłoki malarskiej min. 280 </t>
    </r>
    <r>
      <rPr>
        <sz val="10"/>
        <rFont val="GreekS"/>
        <family val="0"/>
      </rPr>
      <t>m</t>
    </r>
    <r>
      <rPr>
        <sz val="10"/>
        <rFont val="Arial"/>
        <family val="2"/>
      </rPr>
      <t>m, z podziałem na
warstwy jak niżej:</t>
    </r>
  </si>
  <si>
    <r>
      <t xml:space="preserve">powłoka międzywarstwowa PUR - grubość warstwy
min. 80 </t>
    </r>
    <r>
      <rPr>
        <sz val="10"/>
        <rFont val="GreekS"/>
        <family val="0"/>
      </rPr>
      <t>m</t>
    </r>
    <r>
      <rPr>
        <sz val="10"/>
        <rFont val="Arial"/>
        <family val="2"/>
      </rPr>
      <t>m</t>
    </r>
  </si>
  <si>
    <r>
      <t xml:space="preserve">powłoka nawierzchniowa PUR (Farba poliuretanowa
alifatyczna) - grubość warstwy min. 100 </t>
    </r>
    <r>
      <rPr>
        <sz val="10"/>
        <rFont val="GreekS"/>
        <family val="0"/>
      </rPr>
      <t>m</t>
    </r>
    <r>
      <rPr>
        <sz val="10"/>
        <rFont val="Arial"/>
        <family val="2"/>
      </rPr>
      <t>m</t>
    </r>
  </si>
  <si>
    <t>wg rys. 5. "Zbrojenie remontu płyty pomostu"</t>
  </si>
  <si>
    <t>V=14,0</t>
  </si>
  <si>
    <t>Obmiar wg rys. 5. "Zbrojenie remontu płyty pomostu"</t>
  </si>
  <si>
    <t>G=1362</t>
  </si>
  <si>
    <t>Osadzenie kotew balustrad o rozstawie słupków 1m. Przyjęto ciężar stali kotwy 2,26 kg (wg rys. 16. Balustrada stalowa)</t>
  </si>
  <si>
    <t>Wytworzenie balustrady stalowej "szczeblinkowej" o wysokości h=1100 mm. Wg rysunku nr16. Balustrada stalowa.</t>
  </si>
  <si>
    <t>G=1053*2</t>
  </si>
  <si>
    <t>A=27,9*2</t>
  </si>
  <si>
    <t>L=20,60*2</t>
  </si>
  <si>
    <t xml:space="preserve">Wykonanie odwodnienia zasypki przyczółka rurą perforowaną fi 125 mm (2/3 drenażowe, 1/3 pełna) ułożonej na ławie betonowej - szczegół wg rys. ogólnego. Rura w drenie z kruszywa 8/16 w osłonie z geowłókniny </t>
  </si>
  <si>
    <t>Zabezpieczenie powierzchni belki poręczowej oraz oczepu filara z żywicy poliuretanowo - epoksydowej - analogia</t>
  </si>
  <si>
    <t>Przygotowanie powierzchni betonu belki poręczowej oraz oczepu poprzez czyszczenie strumieniowo-ścierne</t>
  </si>
  <si>
    <t>Belka poręczowa: A=2x0,35x20,90=14,7; oczep filara: A=0,50x0,65x4+1,20x0,65x2</t>
  </si>
  <si>
    <t>Gruntowanie powierzchni przeznaczonej pod ułożenie nawierzchni z żywic epoksydowych</t>
  </si>
  <si>
    <t>Wykonanie zabezpieczenia nelki poręczowej oraz oczepu z żywicy poliuretanowo - epoksydowej</t>
  </si>
  <si>
    <t>D 07.01.01</t>
  </si>
  <si>
    <t>Oznakowanie poziome</t>
  </si>
  <si>
    <t>03</t>
  </si>
  <si>
    <t>Oznakowanie poziome masami termoplastycznymi (grubość warstwy 3-4mm)</t>
  </si>
  <si>
    <t>Linia ciągła szerokości 12 cm "odgrodzenia" ciągu pieszego od ruchu pojazdów na długości obiektu i po 5m na długości dojazdów. Linię wykonać od strony górnej wody w odległości 1,25m od krawędzi belki poręczowej (lokalizacja zostanie uzgodniona z Inwestorem). L=5+21+5=31m</t>
  </si>
  <si>
    <t>V=0,8</t>
  </si>
  <si>
    <t>Wykonanie poszerzenia przyczółka od strony Jaśliska i górnej wody. Wg rys. 12. Zbrojenie poszerzenia przyczółka od strony Jaślisk i górnej wody.</t>
  </si>
  <si>
    <t>Kotwy zespolenia płaszcza żelbetowego z korpusem przyczółków średnicy 12mm długości osadzenia 30cm; otwór srednicy 14mm długości 320mm. Pozycja wiercenia:pozioma. Obmiar wg rys. 10. Zbrojenie remontu korpusów i skrzydeł przyczółków oraz Wg rys. 12. Zbrojenie poszerzenia przyczółka od strony Jaślisk i górnej wody.</t>
  </si>
  <si>
    <t>Wykonanie zbrojenia wzmocnienia przyczółków oraz filara. Obmiar wg rysunków 10. Zbrojenie remontu korpusów i skrzydeł przyczółków;  12. Zbrojenie poszerzenia przyczółka od strony Jaślisk i górnej wody oraz rysunku nr 7. Zbrojenie remontu słupów i oczepu filara.</t>
  </si>
  <si>
    <t>KOSZTORYS OFERTOWY</t>
  </si>
  <si>
    <t>Data opracowania: ……………………………</t>
  </si>
  <si>
    <t>1.2</t>
  </si>
  <si>
    <t>1.3</t>
  </si>
  <si>
    <t>1.4</t>
  </si>
  <si>
    <t>1.5</t>
  </si>
  <si>
    <t>1.6</t>
  </si>
  <si>
    <t>1.7</t>
  </si>
  <si>
    <t>2.8</t>
  </si>
  <si>
    <t>2.9</t>
  </si>
  <si>
    <t>2.10</t>
  </si>
  <si>
    <t>2.11</t>
  </si>
  <si>
    <t>2.12</t>
  </si>
  <si>
    <t>2.13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</si>
</sst>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0.0000000"/>
    <numFmt numFmtId="170" formatCode="0.00000000"/>
    <numFmt numFmtId="171" formatCode="0.000000000"/>
    <numFmt numFmtId="172" formatCode="#,##0.0000"/>
    <numFmt numFmtId="173" formatCode="#\.#\.#"/>
    <numFmt numFmtId="174" formatCode="0\+000.0"/>
    <numFmt numFmtId="175" formatCode="#,##0&quot; m²&quot;"/>
    <numFmt numFmtId="176" formatCode="0.00&quot; m&quot;"/>
    <numFmt numFmtId="177" formatCode="#,##0.00&quot; m³&quot;"/>
    <numFmt numFmtId="178" formatCode="00\+000.0"/>
    <numFmt numFmtId="179" formatCode="000\+000.0"/>
    <numFmt numFmtId="180" formatCode="0000\+000.0"/>
    <numFmt numFmtId="181" formatCode="00000\+000.0"/>
    <numFmt numFmtId="182" formatCode="#\.#\."/>
    <numFmt numFmtId="183" formatCode="0.0000000000"/>
    <numFmt numFmtId="184" formatCode="0.00000000000"/>
    <numFmt numFmtId="185" formatCode="0.0%"/>
    <numFmt numFmtId="186" formatCode="#,##0.000"/>
    <numFmt numFmtId="187" formatCode="#,##0.0"/>
    <numFmt numFmtId="188" formatCode="#,##0.00000"/>
    <numFmt numFmtId="189" formatCode="#,##0.000000"/>
    <numFmt numFmtId="190" formatCode="#,##0.0000000"/>
    <numFmt numFmtId="191" formatCode="0\+000.00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25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10"/>
      <name val="Arial Narrow"/>
      <family val="2"/>
    </font>
    <font>
      <b/>
      <vertAlign val="superscript"/>
      <sz val="8"/>
      <name val="Arial"/>
      <family val="2"/>
    </font>
    <font>
      <sz val="12"/>
      <name val="Arial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9.5"/>
      <name val="Arial CE"/>
      <family val="0"/>
    </font>
    <font>
      <b/>
      <sz val="12"/>
      <name val="Arial"/>
      <family val="2"/>
    </font>
    <font>
      <sz val="10"/>
      <name val="GreekS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49" fontId="4" fillId="0" borderId="0" xfId="0" applyNumberFormat="1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/>
      <protection locked="0"/>
    </xf>
    <xf numFmtId="4" fontId="4" fillId="0" borderId="0" xfId="0" applyNumberFormat="1" applyFont="1" applyFill="1" applyAlignment="1" applyProtection="1">
      <alignment horizontal="center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4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4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4" fontId="4" fillId="0" borderId="0" xfId="0" applyNumberFormat="1" applyFont="1" applyFill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Fill="1" applyAlignment="1" applyProtection="1">
      <alignment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 applyProtection="1">
      <alignment horizontal="left"/>
      <protection locked="0"/>
    </xf>
    <xf numFmtId="4" fontId="4" fillId="0" borderId="0" xfId="0" applyNumberFormat="1" applyFont="1" applyFill="1" applyAlignment="1" applyProtection="1">
      <alignment horizontal="left" vertical="center" wrapText="1"/>
      <protection locked="0"/>
    </xf>
    <xf numFmtId="4" fontId="4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Font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wrapText="1"/>
      <protection locked="0"/>
    </xf>
    <xf numFmtId="49" fontId="9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right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right" wrapText="1"/>
      <protection locked="0"/>
    </xf>
    <xf numFmtId="4" fontId="4" fillId="0" borderId="0" xfId="0" applyNumberFormat="1" applyFont="1" applyFill="1" applyAlignment="1" applyProtection="1">
      <alignment horizontal="right" wrapText="1"/>
      <protection locked="0"/>
    </xf>
    <xf numFmtId="4" fontId="1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wrapText="1"/>
      <protection locked="0"/>
    </xf>
    <xf numFmtId="1" fontId="4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 applyProtection="1">
      <alignment wrapText="1"/>
      <protection locked="0"/>
    </xf>
    <xf numFmtId="0" fontId="9" fillId="36" borderId="13" xfId="0" applyFont="1" applyFill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 applyProtection="1">
      <alignment horizontal="right" vertical="center" wrapText="1"/>
      <protection locked="0"/>
    </xf>
    <xf numFmtId="9" fontId="0" fillId="0" borderId="1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/>
    </xf>
    <xf numFmtId="9" fontId="0" fillId="0" borderId="16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/>
      <protection locked="0"/>
    </xf>
    <xf numFmtId="4" fontId="4" fillId="0" borderId="0" xfId="0" applyNumberFormat="1" applyFont="1" applyFill="1" applyAlignment="1" applyProtection="1">
      <alignment wrapText="1"/>
      <protection locked="0"/>
    </xf>
    <xf numFmtId="4" fontId="9" fillId="35" borderId="22" xfId="0" applyNumberFormat="1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0" xfId="0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9" fillId="35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 applyProtection="1">
      <alignment horizontal="center" vertical="center"/>
      <protection locked="0"/>
    </xf>
    <xf numFmtId="2" fontId="4" fillId="34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0" fontId="9" fillId="0" borderId="10" xfId="0" applyFont="1" applyFill="1" applyBorder="1" applyAlignment="1">
      <alignment horizontal="center"/>
    </xf>
    <xf numFmtId="191" fontId="0" fillId="39" borderId="10" xfId="0" applyNumberFormat="1" applyFill="1" applyBorder="1" applyAlignment="1">
      <alignment horizontal="right"/>
    </xf>
    <xf numFmtId="2" fontId="4" fillId="40" borderId="10" xfId="0" applyNumberFormat="1" applyFont="1" applyFill="1" applyBorder="1" applyAlignment="1">
      <alignment vertical="top" wrapText="1"/>
    </xf>
    <xf numFmtId="2" fontId="0" fillId="40" borderId="10" xfId="0" applyNumberFormat="1" applyFill="1" applyBorder="1" applyAlignment="1">
      <alignment/>
    </xf>
    <xf numFmtId="2" fontId="4" fillId="16" borderId="10" xfId="0" applyNumberFormat="1" applyFont="1" applyFill="1" applyBorder="1" applyAlignment="1">
      <alignment vertical="top" wrapText="1"/>
    </xf>
    <xf numFmtId="2" fontId="0" fillId="16" borderId="10" xfId="0" applyNumberFormat="1" applyFill="1" applyBorder="1" applyAlignment="1">
      <alignment/>
    </xf>
    <xf numFmtId="2" fontId="0" fillId="16" borderId="10" xfId="0" applyNumberFormat="1" applyFont="1" applyFill="1" applyBorder="1" applyAlignment="1">
      <alignment/>
    </xf>
    <xf numFmtId="187" fontId="9" fillId="39" borderId="12" xfId="0" applyNumberFormat="1" applyFont="1" applyFill="1" applyBorder="1" applyAlignment="1">
      <alignment horizontal="right"/>
    </xf>
    <xf numFmtId="187" fontId="9" fillId="39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left" vertical="center"/>
    </xf>
    <xf numFmtId="4" fontId="4" fillId="0" borderId="2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2" fontId="16" fillId="0" borderId="10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91" fontId="9" fillId="39" borderId="12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15" fillId="41" borderId="24" xfId="0" applyFont="1" applyFill="1" applyBorder="1" applyAlignment="1">
      <alignment horizontal="center" vertical="center"/>
    </xf>
    <xf numFmtId="0" fontId="15" fillId="41" borderId="25" xfId="0" applyFont="1" applyFill="1" applyBorder="1" applyAlignment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3" fillId="0" borderId="28" xfId="0" applyFont="1" applyBorder="1" applyAlignment="1">
      <alignment/>
    </xf>
    <xf numFmtId="0" fontId="0" fillId="0" borderId="28" xfId="0" applyBorder="1" applyAlignment="1">
      <alignment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0" fontId="4" fillId="34" borderId="10" xfId="0" applyFont="1" applyFill="1" applyBorder="1" applyAlignment="1" applyProtection="1">
      <alignment horizontal="right" vertical="center" wrapText="1"/>
      <protection locked="0"/>
    </xf>
    <xf numFmtId="0" fontId="9" fillId="36" borderId="23" xfId="0" applyFont="1" applyFill="1" applyBorder="1" applyAlignment="1" applyProtection="1">
      <alignment horizontal="center" vertical="center" wrapText="1"/>
      <protection locked="0"/>
    </xf>
    <xf numFmtId="0" fontId="9" fillId="36" borderId="22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7" fillId="38" borderId="10" xfId="0" applyFont="1" applyFill="1" applyBorder="1" applyAlignment="1" applyProtection="1">
      <alignment horizontal="center" vertical="center" wrapText="1"/>
      <protection locked="0"/>
    </xf>
    <xf numFmtId="0" fontId="4" fillId="3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right" vertical="center" wrapText="1"/>
      <protection locked="0"/>
    </xf>
    <xf numFmtId="0" fontId="4" fillId="34" borderId="23" xfId="0" applyFont="1" applyFill="1" applyBorder="1" applyAlignment="1" applyProtection="1">
      <alignment horizontal="right" vertical="center" wrapText="1"/>
      <protection locked="0"/>
    </xf>
    <xf numFmtId="0" fontId="4" fillId="34" borderId="22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38" borderId="34" xfId="0" applyFont="1" applyFill="1" applyBorder="1" applyAlignment="1" applyProtection="1">
      <alignment horizontal="center" vertical="center" wrapText="1"/>
      <protection locked="0"/>
    </xf>
    <xf numFmtId="0" fontId="7" fillId="38" borderId="0" xfId="0" applyFont="1" applyFill="1" applyBorder="1" applyAlignment="1" applyProtection="1">
      <alignment horizontal="center" vertical="center" wrapText="1"/>
      <protection locked="0"/>
    </xf>
    <xf numFmtId="0" fontId="9" fillId="36" borderId="28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47"/>
  <sheetViews>
    <sheetView view="pageBreakPreview" zoomScale="115" zoomScaleSheetLayoutView="115" zoomScalePageLayoutView="0" workbookViewId="0" topLeftCell="A7">
      <selection activeCell="K12" sqref="K12"/>
    </sheetView>
  </sheetViews>
  <sheetFormatPr defaultColWidth="9.00390625" defaultRowHeight="12.75"/>
  <cols>
    <col min="1" max="2" width="9.125" style="1" customWidth="1"/>
    <col min="3" max="3" width="13.25390625" style="1" bestFit="1" customWidth="1"/>
    <col min="4" max="16384" width="9.125" style="1" customWidth="1"/>
  </cols>
  <sheetData>
    <row r="1" spans="1:2" ht="12.75">
      <c r="A1" s="162" t="s">
        <v>246</v>
      </c>
      <c r="B1" s="162"/>
    </row>
    <row r="2" spans="1:2" ht="12.75">
      <c r="A2" s="162" t="s">
        <v>248</v>
      </c>
      <c r="B2" s="162"/>
    </row>
    <row r="3" spans="1:2" ht="12.75">
      <c r="A3" s="162" t="s">
        <v>247</v>
      </c>
      <c r="B3" s="162"/>
    </row>
    <row r="4" spans="1:2" ht="12.75">
      <c r="A4" s="162" t="s">
        <v>250</v>
      </c>
      <c r="B4" s="162"/>
    </row>
    <row r="5" spans="1:2" ht="12.75">
      <c r="A5" s="163" t="s">
        <v>249</v>
      </c>
      <c r="B5" s="163"/>
    </row>
    <row r="8" ht="8.25" customHeight="1"/>
    <row r="9" spans="1:9" ht="33" customHeight="1">
      <c r="A9" s="161" t="s">
        <v>153</v>
      </c>
      <c r="B9" s="161"/>
      <c r="C9" s="161"/>
      <c r="D9" s="161"/>
      <c r="E9" s="161"/>
      <c r="F9" s="161"/>
      <c r="G9" s="161"/>
      <c r="H9" s="161"/>
      <c r="I9" s="161"/>
    </row>
    <row r="12" spans="1:9" ht="62.25" customHeight="1">
      <c r="A12" s="160" t="s">
        <v>264</v>
      </c>
      <c r="B12" s="160"/>
      <c r="C12" s="160"/>
      <c r="D12" s="160"/>
      <c r="E12" s="160"/>
      <c r="F12" s="160"/>
      <c r="G12" s="160"/>
      <c r="H12" s="160"/>
      <c r="I12" s="160"/>
    </row>
    <row r="32" ht="12.75">
      <c r="G32" s="2"/>
    </row>
    <row r="34" ht="12.75">
      <c r="A34" s="4" t="s">
        <v>13</v>
      </c>
    </row>
    <row r="35" ht="12.75">
      <c r="F35" s="4"/>
    </row>
    <row r="39" spans="1:3" ht="12.75">
      <c r="A39" s="162" t="s">
        <v>206</v>
      </c>
      <c r="B39" s="162"/>
      <c r="C39" s="162"/>
    </row>
    <row r="40" spans="1:3" ht="12.75">
      <c r="A40" s="163" t="s">
        <v>14</v>
      </c>
      <c r="B40" s="163"/>
      <c r="C40" s="163"/>
    </row>
    <row r="47" ht="12.75">
      <c r="D47" s="1" t="s">
        <v>265</v>
      </c>
    </row>
  </sheetData>
  <sheetProtection/>
  <mergeCells count="9">
    <mergeCell ref="A12:I12"/>
    <mergeCell ref="A9:I9"/>
    <mergeCell ref="A39:C39"/>
    <mergeCell ref="A40:C40"/>
    <mergeCell ref="A1:B1"/>
    <mergeCell ref="A2:B2"/>
    <mergeCell ref="A3:B3"/>
    <mergeCell ref="A4:B4"/>
    <mergeCell ref="A5:B5"/>
  </mergeCells>
  <printOptions/>
  <pageMargins left="0.75" right="0.61" top="1" bottom="1" header="0.5" footer="0.5"/>
  <pageSetup orientation="portrait" paperSize="9" r:id="rId1"/>
  <headerFooter alignWithMargins="0">
    <oddFooter>&amp;RStrona&amp;P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70"/>
  <sheetViews>
    <sheetView view="pageBreakPreview" zoomScale="80" zoomScaleNormal="160" zoomScaleSheetLayoutView="80" workbookViewId="0" topLeftCell="A1">
      <selection activeCell="F56" sqref="F56"/>
    </sheetView>
  </sheetViews>
  <sheetFormatPr defaultColWidth="12.625" defaultRowHeight="12.75"/>
  <cols>
    <col min="1" max="1" width="9.25390625" style="65" customWidth="1"/>
    <col min="2" max="2" width="16.375" style="65" customWidth="1"/>
    <col min="3" max="3" width="14.375" style="65" customWidth="1"/>
    <col min="4" max="5" width="17.125" style="65" customWidth="1"/>
    <col min="6" max="6" width="13.25390625" style="65" customWidth="1"/>
    <col min="7" max="7" width="15.125" style="65" customWidth="1"/>
    <col min="8" max="8" width="17.75390625" style="65" customWidth="1"/>
    <col min="9" max="16384" width="12.625" style="65" customWidth="1"/>
  </cols>
  <sheetData>
    <row r="1" spans="1:250" s="41" customFormat="1" ht="12.75">
      <c r="A1" s="169" t="s">
        <v>330</v>
      </c>
      <c r="B1" s="169"/>
      <c r="C1" s="169"/>
      <c r="D1" s="169"/>
      <c r="E1" s="169"/>
      <c r="F1" s="169"/>
      <c r="G1" s="169"/>
      <c r="H1" s="169"/>
      <c r="IM1" s="65"/>
      <c r="IN1" s="65"/>
      <c r="IO1" s="65"/>
      <c r="IP1" s="65"/>
    </row>
    <row r="2" spans="1:250" s="41" customFormat="1" ht="25.5">
      <c r="A2" s="42" t="s">
        <v>118</v>
      </c>
      <c r="B2" s="182" t="str">
        <f>OKŁADKA_P!A12</f>
        <v>Remont mostu w ciągu drogi gminnej publicznej Nr G114536 w miejscowości Jaśliska w km 0+543</v>
      </c>
      <c r="C2" s="182"/>
      <c r="D2" s="182"/>
      <c r="E2" s="182"/>
      <c r="F2" s="182"/>
      <c r="G2" s="182"/>
      <c r="H2" s="182"/>
      <c r="IM2" s="65"/>
      <c r="IN2" s="65"/>
      <c r="IO2" s="65"/>
      <c r="IP2" s="65"/>
    </row>
    <row r="3" spans="1:250" s="41" customFormat="1" ht="12.75">
      <c r="A3" s="57"/>
      <c r="D3" s="44"/>
      <c r="E3" s="44"/>
      <c r="IM3" s="65"/>
      <c r="IN3" s="65"/>
      <c r="IO3" s="65"/>
      <c r="IP3" s="65"/>
    </row>
    <row r="4" spans="1:250" s="49" customFormat="1" ht="38.25">
      <c r="A4" s="175" t="s">
        <v>121</v>
      </c>
      <c r="B4" s="180" t="s">
        <v>122</v>
      </c>
      <c r="C4" s="46" t="s">
        <v>123</v>
      </c>
      <c r="D4" s="47" t="s">
        <v>124</v>
      </c>
      <c r="E4" s="47" t="s">
        <v>125</v>
      </c>
      <c r="F4" s="48" t="s">
        <v>127</v>
      </c>
      <c r="G4" s="69" t="s">
        <v>30</v>
      </c>
      <c r="H4" s="69" t="s">
        <v>126</v>
      </c>
      <c r="IM4" s="65"/>
      <c r="IN4" s="65"/>
      <c r="IO4" s="65"/>
      <c r="IP4" s="65"/>
    </row>
    <row r="5" spans="1:250" s="49" customFormat="1" ht="14.25">
      <c r="A5" s="176"/>
      <c r="B5" s="181"/>
      <c r="C5" s="40" t="s">
        <v>119</v>
      </c>
      <c r="D5" s="40" t="s">
        <v>119</v>
      </c>
      <c r="E5" s="40" t="s">
        <v>119</v>
      </c>
      <c r="F5" s="40" t="s">
        <v>112</v>
      </c>
      <c r="G5" s="40" t="s">
        <v>74</v>
      </c>
      <c r="H5" s="40" t="s">
        <v>112</v>
      </c>
      <c r="IM5" s="65"/>
      <c r="IN5" s="65"/>
      <c r="IO5" s="65"/>
      <c r="IP5" s="65"/>
    </row>
    <row r="6" spans="1:250" s="41" customFormat="1" ht="12.7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M6" s="65"/>
      <c r="IN6" s="65"/>
      <c r="IO6" s="65"/>
      <c r="IP6" s="65"/>
    </row>
    <row r="7" spans="1:250" s="41" customFormat="1" ht="12.75">
      <c r="A7" s="56">
        <v>1</v>
      </c>
      <c r="B7" s="70" t="s">
        <v>276</v>
      </c>
      <c r="C7" s="45">
        <v>3.5</v>
      </c>
      <c r="D7" s="45">
        <v>0.3</v>
      </c>
      <c r="E7" s="45">
        <v>2</v>
      </c>
      <c r="F7" s="45">
        <f aca="true" t="shared" si="0" ref="F7:F13">C7*D7*E7</f>
        <v>2.1</v>
      </c>
      <c r="G7" s="71">
        <v>1</v>
      </c>
      <c r="H7" s="45">
        <f aca="true" t="shared" si="1" ref="H7:H13">F7*G7</f>
        <v>2.1</v>
      </c>
      <c r="IM7" s="65"/>
      <c r="IN7" s="65"/>
      <c r="IO7" s="65"/>
      <c r="IP7" s="65"/>
    </row>
    <row r="8" spans="1:250" s="41" customFormat="1" ht="12.75">
      <c r="A8" s="56">
        <v>2</v>
      </c>
      <c r="B8" s="70" t="s">
        <v>179</v>
      </c>
      <c r="C8" s="45">
        <v>6.35</v>
      </c>
      <c r="D8" s="45">
        <v>0.05</v>
      </c>
      <c r="E8" s="45">
        <v>4</v>
      </c>
      <c r="F8" s="45">
        <f t="shared" si="0"/>
        <v>1.27</v>
      </c>
      <c r="G8" s="71">
        <v>1</v>
      </c>
      <c r="H8" s="45">
        <f t="shared" si="1"/>
        <v>1.27</v>
      </c>
      <c r="IM8" s="65"/>
      <c r="IN8" s="65"/>
      <c r="IO8" s="65"/>
      <c r="IP8" s="65"/>
    </row>
    <row r="9" spans="1:250" s="41" customFormat="1" ht="12.75">
      <c r="A9" s="56">
        <v>3</v>
      </c>
      <c r="B9" s="70" t="s">
        <v>275</v>
      </c>
      <c r="C9" s="45">
        <v>7.9</v>
      </c>
      <c r="D9" s="45">
        <v>0.05</v>
      </c>
      <c r="E9" s="45">
        <v>4</v>
      </c>
      <c r="F9" s="45">
        <f>C9*D9*E9</f>
        <v>1.58</v>
      </c>
      <c r="G9" s="71">
        <v>1</v>
      </c>
      <c r="H9" s="45">
        <f>F9*G9</f>
        <v>1.58</v>
      </c>
      <c r="IM9" s="65"/>
      <c r="IN9" s="65"/>
      <c r="IO9" s="65"/>
      <c r="IP9" s="65"/>
    </row>
    <row r="10" spans="1:250" s="41" customFormat="1" ht="12.75">
      <c r="A10" s="56">
        <v>4</v>
      </c>
      <c r="B10" s="70" t="s">
        <v>277</v>
      </c>
      <c r="C10" s="45">
        <v>3.5</v>
      </c>
      <c r="D10" s="45">
        <v>0.05</v>
      </c>
      <c r="E10" s="45">
        <v>3.5</v>
      </c>
      <c r="F10" s="45">
        <f t="shared" si="0"/>
        <v>0.6125</v>
      </c>
      <c r="G10" s="71">
        <v>1</v>
      </c>
      <c r="H10" s="45">
        <f t="shared" si="1"/>
        <v>0.6125</v>
      </c>
      <c r="IM10" s="65"/>
      <c r="IN10" s="65"/>
      <c r="IO10" s="65"/>
      <c r="IP10" s="65"/>
    </row>
    <row r="11" spans="1:250" s="41" customFormat="1" ht="12.75">
      <c r="A11" s="56">
        <v>5</v>
      </c>
      <c r="B11" s="70" t="s">
        <v>278</v>
      </c>
      <c r="C11" s="45">
        <v>3.1</v>
      </c>
      <c r="D11" s="45">
        <v>0.05</v>
      </c>
      <c r="E11" s="45">
        <v>3.5</v>
      </c>
      <c r="F11" s="45">
        <f t="shared" si="0"/>
        <v>0.5425000000000001</v>
      </c>
      <c r="G11" s="71">
        <v>1</v>
      </c>
      <c r="H11" s="45">
        <f t="shared" si="1"/>
        <v>0.5425000000000001</v>
      </c>
      <c r="IM11" s="65"/>
      <c r="IN11" s="65"/>
      <c r="IO11" s="65"/>
      <c r="IP11" s="65"/>
    </row>
    <row r="12" spans="1:250" s="41" customFormat="1" ht="12.75">
      <c r="A12" s="56">
        <v>6</v>
      </c>
      <c r="B12" s="70" t="s">
        <v>279</v>
      </c>
      <c r="C12" s="45">
        <v>3.5</v>
      </c>
      <c r="D12" s="45">
        <v>0.05</v>
      </c>
      <c r="E12" s="45">
        <v>3.5</v>
      </c>
      <c r="F12" s="45">
        <f t="shared" si="0"/>
        <v>0.6125</v>
      </c>
      <c r="G12" s="71">
        <v>1</v>
      </c>
      <c r="H12" s="45">
        <f t="shared" si="1"/>
        <v>0.6125</v>
      </c>
      <c r="IM12" s="65"/>
      <c r="IN12" s="65"/>
      <c r="IO12" s="65"/>
      <c r="IP12" s="65"/>
    </row>
    <row r="13" spans="1:250" s="41" customFormat="1" ht="12.75">
      <c r="A13" s="56">
        <v>7</v>
      </c>
      <c r="B13" s="70" t="s">
        <v>280</v>
      </c>
      <c r="C13" s="45">
        <v>3.9</v>
      </c>
      <c r="D13" s="45">
        <v>0.05</v>
      </c>
      <c r="E13" s="45">
        <v>3.5</v>
      </c>
      <c r="F13" s="45">
        <f t="shared" si="0"/>
        <v>0.6825</v>
      </c>
      <c r="G13" s="71">
        <v>1</v>
      </c>
      <c r="H13" s="45">
        <f t="shared" si="1"/>
        <v>0.6825</v>
      </c>
      <c r="IM13" s="65"/>
      <c r="IN13" s="65"/>
      <c r="IO13" s="65"/>
      <c r="IP13" s="65"/>
    </row>
    <row r="14" spans="1:250" s="41" customFormat="1" ht="13.5" customHeight="1">
      <c r="A14" s="56">
        <v>8</v>
      </c>
      <c r="B14" s="113" t="s">
        <v>283</v>
      </c>
      <c r="C14" s="45">
        <v>7.5</v>
      </c>
      <c r="D14" s="45">
        <v>0.05</v>
      </c>
      <c r="E14" s="45">
        <v>1.5</v>
      </c>
      <c r="F14" s="45">
        <f>C14*D14*E14</f>
        <v>0.5625</v>
      </c>
      <c r="G14" s="71">
        <v>2</v>
      </c>
      <c r="H14" s="45">
        <f>F14*G14</f>
        <v>1.125</v>
      </c>
      <c r="IM14" s="65"/>
      <c r="IN14" s="65"/>
      <c r="IO14" s="65"/>
      <c r="IP14" s="65"/>
    </row>
    <row r="15" spans="1:250" s="41" customFormat="1" ht="13.5" customHeight="1">
      <c r="A15" s="56"/>
      <c r="B15" s="113" t="s">
        <v>283</v>
      </c>
      <c r="C15" s="45">
        <v>1</v>
      </c>
      <c r="D15" s="45">
        <v>0.05</v>
      </c>
      <c r="E15" s="45">
        <v>1.5</v>
      </c>
      <c r="F15" s="45">
        <f>C15*D15*E15</f>
        <v>0.07500000000000001</v>
      </c>
      <c r="G15" s="71">
        <v>2</v>
      </c>
      <c r="H15" s="45">
        <f>F15*G15</f>
        <v>0.15000000000000002</v>
      </c>
      <c r="IM15" s="65"/>
      <c r="IN15" s="65"/>
      <c r="IO15" s="65"/>
      <c r="IP15" s="65"/>
    </row>
    <row r="16" spans="1:250" s="41" customFormat="1" ht="15.75" customHeight="1">
      <c r="A16" s="111"/>
      <c r="B16" s="113" t="s">
        <v>284</v>
      </c>
      <c r="C16" s="183">
        <v>6.6</v>
      </c>
      <c r="D16" s="184"/>
      <c r="E16" s="45">
        <v>0.05</v>
      </c>
      <c r="F16" s="45">
        <f>C16*E16</f>
        <v>0.33</v>
      </c>
      <c r="G16" s="71">
        <v>1</v>
      </c>
      <c r="H16" s="45">
        <f>F16*G16</f>
        <v>0.33</v>
      </c>
      <c r="IM16" s="65"/>
      <c r="IN16" s="65"/>
      <c r="IO16" s="65"/>
      <c r="IP16" s="65"/>
    </row>
    <row r="17" spans="1:250" s="41" customFormat="1" ht="12.75">
      <c r="A17" s="177" t="s">
        <v>120</v>
      </c>
      <c r="B17" s="178"/>
      <c r="C17" s="178"/>
      <c r="D17" s="178"/>
      <c r="E17" s="178"/>
      <c r="F17" s="178"/>
      <c r="G17" s="179"/>
      <c r="H17" s="72">
        <f>SUM(H7:H16)</f>
        <v>9.005</v>
      </c>
      <c r="IM17" s="65"/>
      <c r="IN17" s="65"/>
      <c r="IO17" s="65"/>
      <c r="IP17" s="65"/>
    </row>
    <row r="18" spans="1:250" s="41" customFormat="1" ht="12.75">
      <c r="A18" s="177" t="s">
        <v>180</v>
      </c>
      <c r="B18" s="178"/>
      <c r="C18" s="178"/>
      <c r="D18" s="178"/>
      <c r="E18" s="178"/>
      <c r="F18" s="178"/>
      <c r="G18" s="179"/>
      <c r="H18" s="72">
        <f>ROUND(H17*1.15,1)</f>
        <v>10.4</v>
      </c>
      <c r="IM18" s="65"/>
      <c r="IN18" s="65"/>
      <c r="IO18" s="65"/>
      <c r="IP18" s="65"/>
    </row>
    <row r="19" spans="1:250" s="41" customFormat="1" ht="12.75">
      <c r="A19" s="177" t="s">
        <v>128</v>
      </c>
      <c r="B19" s="178"/>
      <c r="C19" s="178"/>
      <c r="D19" s="178"/>
      <c r="E19" s="178"/>
      <c r="F19" s="178"/>
      <c r="G19" s="179"/>
      <c r="H19" s="72">
        <f>H18</f>
        <v>10.4</v>
      </c>
      <c r="IM19" s="65"/>
      <c r="IN19" s="65"/>
      <c r="IO19" s="65"/>
      <c r="IP19" s="65"/>
    </row>
    <row r="20" spans="1:250" s="41" customFormat="1" ht="12.75">
      <c r="A20" s="57"/>
      <c r="D20" s="44"/>
      <c r="E20" s="44"/>
      <c r="IM20" s="65"/>
      <c r="IN20" s="65"/>
      <c r="IO20" s="65"/>
      <c r="IP20" s="65"/>
    </row>
    <row r="21" spans="1:250" s="41" customFormat="1" ht="12.75">
      <c r="A21" s="57"/>
      <c r="D21" s="44"/>
      <c r="E21" s="44"/>
      <c r="IM21" s="65"/>
      <c r="IN21" s="65"/>
      <c r="IO21" s="65"/>
      <c r="IP21" s="65"/>
    </row>
    <row r="22" spans="1:250" s="41" customFormat="1" ht="12.75">
      <c r="A22" s="169" t="s">
        <v>187</v>
      </c>
      <c r="B22" s="169"/>
      <c r="C22" s="169"/>
      <c r="D22" s="169"/>
      <c r="E22" s="169"/>
      <c r="F22" s="169"/>
      <c r="G22" s="169"/>
      <c r="H22" s="169"/>
      <c r="IM22" s="65"/>
      <c r="IN22" s="65"/>
      <c r="IO22" s="65"/>
      <c r="IP22" s="65"/>
    </row>
    <row r="23" spans="1:8" ht="25.5">
      <c r="A23" s="42" t="s">
        <v>118</v>
      </c>
      <c r="B23" s="182" t="str">
        <f>B2</f>
        <v>Remont mostu w ciągu drogi gminnej publicznej Nr G114536 w miejscowości Jaśliska w km 0+543</v>
      </c>
      <c r="C23" s="182"/>
      <c r="D23" s="182"/>
      <c r="E23" s="182"/>
      <c r="F23" s="182"/>
      <c r="G23" s="182"/>
      <c r="H23" s="182"/>
    </row>
    <row r="24" spans="1:8" ht="12.75">
      <c r="A24" s="57"/>
      <c r="B24" s="41"/>
      <c r="C24" s="41"/>
      <c r="D24" s="44"/>
      <c r="E24" s="44"/>
      <c r="F24" s="41"/>
      <c r="G24" s="41"/>
      <c r="H24" s="41"/>
    </row>
    <row r="25" spans="1:9" ht="12.75">
      <c r="A25" s="94" t="s">
        <v>210</v>
      </c>
      <c r="F25" s="73"/>
      <c r="G25" s="73"/>
      <c r="H25" s="73"/>
      <c r="I25" s="73"/>
    </row>
    <row r="26" spans="4:9" ht="12.75">
      <c r="D26" s="56" t="s">
        <v>282</v>
      </c>
      <c r="E26" s="56" t="s">
        <v>285</v>
      </c>
      <c r="F26" s="56" t="s">
        <v>236</v>
      </c>
      <c r="G26" s="66" t="s">
        <v>188</v>
      </c>
      <c r="H26" s="73"/>
      <c r="I26" s="73"/>
    </row>
    <row r="27" spans="1:7" ht="12.75">
      <c r="A27" s="185" t="s">
        <v>173</v>
      </c>
      <c r="B27" s="185"/>
      <c r="C27" s="185"/>
      <c r="D27" s="47">
        <f>D31</f>
        <v>31.6</v>
      </c>
      <c r="E27" s="45">
        <f>E31</f>
        <v>31.5</v>
      </c>
      <c r="F27" s="56"/>
      <c r="G27" s="66">
        <f>SUM(D27:F27)</f>
        <v>63.1</v>
      </c>
    </row>
    <row r="28" spans="1:7" ht="12.75">
      <c r="A28" s="185" t="s">
        <v>288</v>
      </c>
      <c r="B28" s="185"/>
      <c r="C28" s="185"/>
      <c r="D28" s="47">
        <f>D32</f>
        <v>53.1</v>
      </c>
      <c r="E28" s="45">
        <f>E32</f>
        <v>53.2</v>
      </c>
      <c r="F28" s="56">
        <f>F32</f>
        <v>125.39999999999999</v>
      </c>
      <c r="G28" s="66">
        <f aca="true" t="shared" si="2" ref="G28:G33">SUM(D28:F28)</f>
        <v>231.7</v>
      </c>
    </row>
    <row r="29" spans="1:7" ht="12.75">
      <c r="A29" s="185" t="s">
        <v>207</v>
      </c>
      <c r="B29" s="185"/>
      <c r="C29" s="185"/>
      <c r="D29" s="47">
        <f>D31</f>
        <v>31.6</v>
      </c>
      <c r="E29" s="45">
        <f>E31</f>
        <v>31.5</v>
      </c>
      <c r="F29" s="56"/>
      <c r="G29" s="66">
        <f t="shared" si="2"/>
        <v>63.1</v>
      </c>
    </row>
    <row r="30" spans="1:7" ht="12.75">
      <c r="A30" s="185" t="s">
        <v>208</v>
      </c>
      <c r="B30" s="185"/>
      <c r="C30" s="185"/>
      <c r="D30" s="47">
        <f>7*3</f>
        <v>21</v>
      </c>
      <c r="E30" s="45">
        <f>7*3</f>
        <v>21</v>
      </c>
      <c r="F30" s="56"/>
      <c r="G30" s="66">
        <f>SUM(D30:F30)</f>
        <v>42</v>
      </c>
    </row>
    <row r="31" spans="1:7" ht="12.75">
      <c r="A31" s="185" t="s">
        <v>209</v>
      </c>
      <c r="B31" s="185"/>
      <c r="C31" s="185"/>
      <c r="D31" s="47">
        <v>31.6</v>
      </c>
      <c r="E31" s="45">
        <v>31.5</v>
      </c>
      <c r="F31" s="56"/>
      <c r="G31" s="66">
        <f t="shared" si="2"/>
        <v>63.1</v>
      </c>
    </row>
    <row r="32" spans="1:7" ht="12.75">
      <c r="A32" s="186" t="s">
        <v>372</v>
      </c>
      <c r="B32" s="187"/>
      <c r="C32" s="188"/>
      <c r="D32" s="47">
        <v>53.1</v>
      </c>
      <c r="E32" s="45">
        <v>53.2</v>
      </c>
      <c r="F32" s="56">
        <f>6*20.9</f>
        <v>125.39999999999999</v>
      </c>
      <c r="G32" s="66">
        <f>SUM(D32:F32)</f>
        <v>231.7</v>
      </c>
    </row>
    <row r="33" spans="1:9" s="74" customFormat="1" ht="12.75">
      <c r="A33" s="186" t="s">
        <v>331</v>
      </c>
      <c r="B33" s="187"/>
      <c r="C33" s="188"/>
      <c r="D33" s="47">
        <v>54</v>
      </c>
      <c r="E33" s="45">
        <v>54.4</v>
      </c>
      <c r="F33" s="56">
        <f>6*20.9</f>
        <v>125.39999999999999</v>
      </c>
      <c r="G33" s="66">
        <f t="shared" si="2"/>
        <v>233.8</v>
      </c>
      <c r="H33" s="65"/>
      <c r="I33" s="65"/>
    </row>
    <row r="37" spans="1:9" ht="12.75">
      <c r="A37" s="169" t="s">
        <v>254</v>
      </c>
      <c r="B37" s="169"/>
      <c r="C37" s="169"/>
      <c r="D37" s="169"/>
      <c r="E37" s="169"/>
      <c r="F37" s="169"/>
      <c r="G37" s="169"/>
      <c r="H37" s="169"/>
      <c r="I37" s="41"/>
    </row>
    <row r="38" spans="1:8" ht="25.5">
      <c r="A38" s="42" t="s">
        <v>118</v>
      </c>
      <c r="B38" s="182" t="str">
        <f>OKŁADKA_P!A12</f>
        <v>Remont mostu w ciągu drogi gminnej publicznej Nr G114536 w miejscowości Jaśliska w km 0+543</v>
      </c>
      <c r="C38" s="182"/>
      <c r="D38" s="182"/>
      <c r="E38" s="182"/>
      <c r="F38" s="182"/>
      <c r="G38" s="182"/>
      <c r="H38" s="182"/>
    </row>
    <row r="39" spans="1:8" ht="12.75">
      <c r="A39" s="57"/>
      <c r="B39" s="41"/>
      <c r="C39" s="41"/>
      <c r="D39" s="44"/>
      <c r="E39" s="44"/>
      <c r="F39" s="41"/>
      <c r="G39" s="41"/>
      <c r="H39" s="41"/>
    </row>
    <row r="40" spans="1:11" ht="15.75">
      <c r="A40"/>
      <c r="B40" s="189" t="s">
        <v>353</v>
      </c>
      <c r="C40" s="190"/>
      <c r="D40" s="190"/>
      <c r="E40" s="190"/>
      <c r="F40" s="190"/>
      <c r="G40" s="190"/>
      <c r="H40" s="190"/>
      <c r="I40" s="190"/>
      <c r="J40" s="190"/>
      <c r="K40" s="190"/>
    </row>
    <row r="41" spans="1:11" ht="12.75">
      <c r="A41" s="173" t="s">
        <v>332</v>
      </c>
      <c r="B41" s="173" t="s">
        <v>333</v>
      </c>
      <c r="C41" s="164" t="s">
        <v>334</v>
      </c>
      <c r="D41" s="164"/>
      <c r="E41" s="164"/>
      <c r="F41" s="164"/>
      <c r="G41" s="164"/>
      <c r="H41" s="174" t="s">
        <v>335</v>
      </c>
      <c r="I41" s="174"/>
      <c r="J41" s="174" t="s">
        <v>354</v>
      </c>
      <c r="K41" s="174"/>
    </row>
    <row r="42" spans="1:11" ht="12.75">
      <c r="A42" s="173"/>
      <c r="B42" s="173"/>
      <c r="C42" s="164" t="s">
        <v>324</v>
      </c>
      <c r="D42" s="164"/>
      <c r="E42" s="164" t="s">
        <v>337</v>
      </c>
      <c r="F42" s="164"/>
      <c r="G42" s="164" t="s">
        <v>338</v>
      </c>
      <c r="H42" s="164" t="s">
        <v>134</v>
      </c>
      <c r="I42" s="164" t="s">
        <v>339</v>
      </c>
      <c r="J42" s="164" t="s">
        <v>134</v>
      </c>
      <c r="K42" s="164" t="s">
        <v>339</v>
      </c>
    </row>
    <row r="43" spans="1:11" ht="12.75" customHeight="1">
      <c r="A43" s="173"/>
      <c r="B43" s="173"/>
      <c r="C43" s="141" t="s">
        <v>340</v>
      </c>
      <c r="D43" s="141" t="s">
        <v>341</v>
      </c>
      <c r="E43" s="141" t="s">
        <v>340</v>
      </c>
      <c r="F43" s="141" t="s">
        <v>341</v>
      </c>
      <c r="G43" s="164"/>
      <c r="H43" s="164"/>
      <c r="I43" s="164"/>
      <c r="J43" s="164"/>
      <c r="K43" s="164"/>
    </row>
    <row r="44" spans="1:11" ht="14.25">
      <c r="A44" s="173"/>
      <c r="B44" s="173"/>
      <c r="C44" s="141" t="s">
        <v>342</v>
      </c>
      <c r="D44" s="141" t="s">
        <v>342</v>
      </c>
      <c r="E44" s="141" t="s">
        <v>343</v>
      </c>
      <c r="F44" s="141" t="s">
        <v>343</v>
      </c>
      <c r="G44" s="141" t="s">
        <v>343</v>
      </c>
      <c r="H44" s="141" t="s">
        <v>344</v>
      </c>
      <c r="I44" s="141" t="s">
        <v>342</v>
      </c>
      <c r="J44" s="141" t="s">
        <v>344</v>
      </c>
      <c r="K44" s="141" t="s">
        <v>342</v>
      </c>
    </row>
    <row r="45" spans="1:11" ht="12.75">
      <c r="A45"/>
      <c r="B45" s="165" t="s">
        <v>345</v>
      </c>
      <c r="C45" s="166"/>
      <c r="D45" s="166"/>
      <c r="E45" s="166"/>
      <c r="F45" s="166"/>
      <c r="G45" s="166"/>
      <c r="H45" s="166"/>
      <c r="I45" s="166"/>
      <c r="J45" s="166"/>
      <c r="K45" s="167"/>
    </row>
    <row r="46" spans="1:11" ht="12.75" customHeight="1">
      <c r="A46" s="142" t="s">
        <v>355</v>
      </c>
      <c r="B46" s="142">
        <v>649.5</v>
      </c>
      <c r="C46" s="143">
        <v>5.7</v>
      </c>
      <c r="D46" s="143">
        <v>0.9</v>
      </c>
      <c r="E46" s="144"/>
      <c r="F46" s="144"/>
      <c r="G46" s="144"/>
      <c r="H46" s="145">
        <v>4.5</v>
      </c>
      <c r="I46" s="146"/>
      <c r="J46" s="145">
        <v>2.4</v>
      </c>
      <c r="K46" s="147"/>
    </row>
    <row r="47" spans="1:11" ht="12.75">
      <c r="A47" s="142" t="s">
        <v>356</v>
      </c>
      <c r="B47" s="142">
        <v>643.5</v>
      </c>
      <c r="C47" s="143">
        <f>3.5+4.8</f>
        <v>8.3</v>
      </c>
      <c r="D47" s="143">
        <f>0.2+0</f>
        <v>0.2</v>
      </c>
      <c r="E47" s="144">
        <f>-(B47-B46)*((C47+C46)/2)</f>
        <v>42</v>
      </c>
      <c r="F47" s="144">
        <f>-(B47-B46)*((D47+D46)/2)</f>
        <v>3.3000000000000003</v>
      </c>
      <c r="G47" s="144">
        <f>E47+F47</f>
        <v>45.3</v>
      </c>
      <c r="H47" s="145">
        <f>2+8.5</f>
        <v>10.5</v>
      </c>
      <c r="I47" s="146">
        <f>-(B47-B46)*((H47+H46)/2)</f>
        <v>45</v>
      </c>
      <c r="J47" s="145">
        <f>0+2.2</f>
        <v>2.2</v>
      </c>
      <c r="K47" s="147">
        <f>-(B47-B46)*((J47+J46)/2)</f>
        <v>13.799999999999999</v>
      </c>
    </row>
    <row r="48" spans="1:11" ht="12.75">
      <c r="A48" s="142" t="s">
        <v>357</v>
      </c>
      <c r="B48" s="142">
        <v>632.5</v>
      </c>
      <c r="C48" s="143">
        <f>3.1+10.4</f>
        <v>13.5</v>
      </c>
      <c r="D48" s="143">
        <f>1.6+0.5</f>
        <v>2.1</v>
      </c>
      <c r="E48" s="144">
        <f>-(B48-B47)*((C48+C47)/2)</f>
        <v>119.9</v>
      </c>
      <c r="F48" s="144">
        <f>-(B48-B47)*((D48+D47)/2)</f>
        <v>12.650000000000002</v>
      </c>
      <c r="G48" s="144">
        <f>E48+F48</f>
        <v>132.55</v>
      </c>
      <c r="H48" s="145">
        <f>3.4+12</f>
        <v>15.4</v>
      </c>
      <c r="I48" s="146">
        <f>-(B48-B47)*((H48+H47)/2)</f>
        <v>142.45</v>
      </c>
      <c r="J48" s="145">
        <f>1+3.4</f>
        <v>4.4</v>
      </c>
      <c r="K48" s="147">
        <f>-(B48-B47)*((J48+J47)/2)</f>
        <v>36.300000000000004</v>
      </c>
    </row>
    <row r="49" spans="1:11" ht="12.75">
      <c r="A49" s="142" t="s">
        <v>358</v>
      </c>
      <c r="B49" s="142">
        <v>623</v>
      </c>
      <c r="C49" s="143">
        <v>7.7</v>
      </c>
      <c r="D49" s="143">
        <f>4.6+0.2</f>
        <v>4.8</v>
      </c>
      <c r="E49" s="144">
        <f>-(B49-B48)*((C49+C48)/2)</f>
        <v>100.7</v>
      </c>
      <c r="F49" s="144">
        <f>-(B49-B48)*((D49+D48)/2)</f>
        <v>32.775</v>
      </c>
      <c r="G49" s="144">
        <f>E49+F49</f>
        <v>133.475</v>
      </c>
      <c r="H49" s="145">
        <v>8</v>
      </c>
      <c r="I49" s="146">
        <f>-(B49-B48)*((H49+H48)/2)</f>
        <v>111.14999999999999</v>
      </c>
      <c r="J49" s="145">
        <v>0</v>
      </c>
      <c r="K49" s="147">
        <f>-(B49-B48)*((J49+J48)/2)</f>
        <v>20.900000000000002</v>
      </c>
    </row>
    <row r="50" spans="1:11" ht="12.75">
      <c r="A50" s="142" t="s">
        <v>359</v>
      </c>
      <c r="B50" s="142">
        <v>605</v>
      </c>
      <c r="C50" s="143">
        <v>0</v>
      </c>
      <c r="D50" s="143">
        <v>0</v>
      </c>
      <c r="E50" s="144">
        <f>-(B50-B49)*((C50+C49)/2)</f>
        <v>69.3</v>
      </c>
      <c r="F50" s="144">
        <f>-(B50-B49)*((D50+D49)/2)</f>
        <v>43.199999999999996</v>
      </c>
      <c r="G50" s="144">
        <f>E50+F50</f>
        <v>112.5</v>
      </c>
      <c r="H50" s="145"/>
      <c r="I50" s="146">
        <f>-(B50-B49)*((H50+H49)/2)</f>
        <v>72</v>
      </c>
      <c r="J50" s="145"/>
      <c r="K50" s="147">
        <f>-(B50-B49)*((J50+J49)/2)</f>
        <v>0</v>
      </c>
    </row>
    <row r="51" spans="1:11" ht="13.5" thickBot="1">
      <c r="A51"/>
      <c r="B51" s="168" t="s">
        <v>9</v>
      </c>
      <c r="C51" s="168"/>
      <c r="D51" s="168"/>
      <c r="E51" s="148">
        <f>SUM(E46:E50)</f>
        <v>331.90000000000003</v>
      </c>
      <c r="F51" s="148">
        <f>ROUND(SUM(F46:F50),1)</f>
        <v>91.9</v>
      </c>
      <c r="G51" s="148">
        <f>ROUND(SUM(G46:G50),1)</f>
        <v>423.8</v>
      </c>
      <c r="H51" s="149"/>
      <c r="I51" s="148">
        <f>ROUND(SUM(I46:I50),1)</f>
        <v>370.6</v>
      </c>
      <c r="J51" s="149"/>
      <c r="K51" s="148">
        <f>ROUND(SUM(K46:K50),1)</f>
        <v>71</v>
      </c>
    </row>
    <row r="52" spans="2:5" ht="13.5" thickBot="1">
      <c r="B52" s="170" t="s">
        <v>251</v>
      </c>
      <c r="C52" s="171"/>
      <c r="D52" s="171"/>
      <c r="E52" s="172"/>
    </row>
    <row r="53" spans="2:5" ht="12.75" customHeight="1">
      <c r="B53" s="115"/>
      <c r="C53" s="116"/>
      <c r="D53" s="117" t="s">
        <v>252</v>
      </c>
      <c r="E53" s="104" t="s">
        <v>253</v>
      </c>
    </row>
    <row r="54" spans="2:5" ht="12.75" customHeight="1">
      <c r="B54" s="105" t="s">
        <v>178</v>
      </c>
      <c r="C54" s="47">
        <f>E51</f>
        <v>331.90000000000003</v>
      </c>
      <c r="D54" s="103">
        <v>0.15</v>
      </c>
      <c r="E54" s="118">
        <f>ROUND(C54*D54+C54,0)</f>
        <v>382</v>
      </c>
    </row>
    <row r="55" spans="2:6" ht="12.75" customHeight="1" thickBot="1">
      <c r="B55" s="106" t="s">
        <v>177</v>
      </c>
      <c r="C55" s="107">
        <f>F51</f>
        <v>91.9</v>
      </c>
      <c r="D55" s="108">
        <v>0.15</v>
      </c>
      <c r="E55" s="119">
        <f>ROUND(C55*D55+C55,0)</f>
        <v>106</v>
      </c>
      <c r="F55" s="150" t="s">
        <v>365</v>
      </c>
    </row>
    <row r="56" ht="12.75" customHeight="1"/>
    <row r="57" spans="1:11" ht="12.75" customHeight="1">
      <c r="A57"/>
      <c r="B57" s="169" t="s">
        <v>360</v>
      </c>
      <c r="C57" s="169"/>
      <c r="D57" s="169"/>
      <c r="E57" s="169"/>
      <c r="F57" s="169"/>
      <c r="G57" s="169"/>
      <c r="H57" s="169"/>
      <c r="I57" s="169"/>
      <c r="J57" s="169"/>
      <c r="K57" s="169"/>
    </row>
    <row r="58" spans="1:11" ht="12.75" customHeight="1">
      <c r="A58" s="173" t="s">
        <v>332</v>
      </c>
      <c r="B58" s="173" t="s">
        <v>333</v>
      </c>
      <c r="C58" s="164" t="s">
        <v>334</v>
      </c>
      <c r="D58" s="164"/>
      <c r="E58" s="164"/>
      <c r="F58" s="164"/>
      <c r="G58" s="164"/>
      <c r="H58" s="174" t="s">
        <v>335</v>
      </c>
      <c r="I58" s="174"/>
      <c r="J58" s="174" t="s">
        <v>336</v>
      </c>
      <c r="K58" s="174"/>
    </row>
    <row r="59" spans="1:11" ht="12.75" customHeight="1">
      <c r="A59" s="173"/>
      <c r="B59" s="173"/>
      <c r="C59" s="164" t="s">
        <v>324</v>
      </c>
      <c r="D59" s="164"/>
      <c r="E59" s="164" t="s">
        <v>337</v>
      </c>
      <c r="F59" s="164"/>
      <c r="G59" s="164" t="s">
        <v>338</v>
      </c>
      <c r="H59" s="164" t="s">
        <v>134</v>
      </c>
      <c r="I59" s="164" t="s">
        <v>339</v>
      </c>
      <c r="J59" s="164" t="s">
        <v>134</v>
      </c>
      <c r="K59" s="164" t="s">
        <v>339</v>
      </c>
    </row>
    <row r="60" spans="1:11" ht="12.75" customHeight="1">
      <c r="A60" s="173"/>
      <c r="B60" s="173"/>
      <c r="C60" s="141" t="s">
        <v>340</v>
      </c>
      <c r="D60" s="141" t="s">
        <v>341</v>
      </c>
      <c r="E60" s="141" t="s">
        <v>340</v>
      </c>
      <c r="F60" s="141" t="s">
        <v>341</v>
      </c>
      <c r="G60" s="164"/>
      <c r="H60" s="164"/>
      <c r="I60" s="164"/>
      <c r="J60" s="164"/>
      <c r="K60" s="164"/>
    </row>
    <row r="61" spans="1:11" ht="12.75" customHeight="1">
      <c r="A61" s="173"/>
      <c r="B61" s="173"/>
      <c r="C61" s="141" t="s">
        <v>342</v>
      </c>
      <c r="D61" s="141" t="s">
        <v>342</v>
      </c>
      <c r="E61" s="141" t="s">
        <v>343</v>
      </c>
      <c r="F61" s="141" t="s">
        <v>343</v>
      </c>
      <c r="G61" s="141" t="s">
        <v>343</v>
      </c>
      <c r="H61" s="141" t="s">
        <v>344</v>
      </c>
      <c r="I61" s="141" t="s">
        <v>342</v>
      </c>
      <c r="J61" s="141" t="s">
        <v>344</v>
      </c>
      <c r="K61" s="141" t="s">
        <v>342</v>
      </c>
    </row>
    <row r="62" spans="1:11" ht="12.75" customHeight="1">
      <c r="A62"/>
      <c r="B62" s="165" t="s">
        <v>345</v>
      </c>
      <c r="C62" s="166"/>
      <c r="D62" s="166"/>
      <c r="E62" s="166"/>
      <c r="F62" s="166"/>
      <c r="G62" s="166"/>
      <c r="H62" s="166"/>
      <c r="I62" s="166"/>
      <c r="J62" s="166"/>
      <c r="K62" s="167"/>
    </row>
    <row r="63" spans="1:11" ht="12.75" customHeight="1">
      <c r="A63" s="142" t="s">
        <v>346</v>
      </c>
      <c r="B63" s="142">
        <v>533</v>
      </c>
      <c r="C63" s="143">
        <v>1.5</v>
      </c>
      <c r="D63" s="143">
        <v>0</v>
      </c>
      <c r="E63" s="144"/>
      <c r="F63" s="144"/>
      <c r="G63" s="144"/>
      <c r="H63" s="145">
        <v>5.5</v>
      </c>
      <c r="I63" s="146"/>
      <c r="J63" s="145">
        <v>0</v>
      </c>
      <c r="K63" s="147"/>
    </row>
    <row r="64" spans="1:11" ht="12.75" customHeight="1">
      <c r="A64" s="142" t="s">
        <v>347</v>
      </c>
      <c r="B64" s="142">
        <v>540</v>
      </c>
      <c r="C64" s="143">
        <v>5</v>
      </c>
      <c r="D64" s="143">
        <v>0.7</v>
      </c>
      <c r="E64" s="144">
        <f>(B64-B63)*((C64+C63)/2)</f>
        <v>22.75</v>
      </c>
      <c r="F64" s="144">
        <f>(B64-B63)*((D64+D63)/2)</f>
        <v>2.4499999999999997</v>
      </c>
      <c r="G64" s="144">
        <f aca="true" t="shared" si="3" ref="G64:G69">E64+F64</f>
        <v>25.2</v>
      </c>
      <c r="H64" s="145">
        <v>7.8</v>
      </c>
      <c r="I64" s="146">
        <f>(B64-B63)*((H64+H63)/2)</f>
        <v>46.550000000000004</v>
      </c>
      <c r="J64" s="145">
        <v>0</v>
      </c>
      <c r="K64" s="147">
        <f>(B64-B63)*((J64+J63)/2)</f>
        <v>0</v>
      </c>
    </row>
    <row r="65" spans="1:11" ht="12.75" customHeight="1">
      <c r="A65" s="142" t="s">
        <v>348</v>
      </c>
      <c r="B65" s="142">
        <v>543</v>
      </c>
      <c r="C65" s="143">
        <v>9.5</v>
      </c>
      <c r="D65" s="143">
        <v>4.5</v>
      </c>
      <c r="E65" s="144">
        <f>(B65-B64)*((C65+C64)/2)</f>
        <v>21.75</v>
      </c>
      <c r="F65" s="144">
        <f>(B65-B64)*((D65+D64)/2)</f>
        <v>7.800000000000001</v>
      </c>
      <c r="G65" s="144">
        <f t="shared" si="3"/>
        <v>29.55</v>
      </c>
      <c r="H65" s="145">
        <v>6</v>
      </c>
      <c r="I65" s="146">
        <f>(B65-B64)*((H65+H64)/2)</f>
        <v>20.700000000000003</v>
      </c>
      <c r="J65" s="145">
        <v>0</v>
      </c>
      <c r="K65" s="147">
        <f>(B65-B64)*((J65+J64)/2)</f>
        <v>0</v>
      </c>
    </row>
    <row r="66" spans="1:11" ht="12.75" customHeight="1">
      <c r="A66"/>
      <c r="B66" s="165" t="s">
        <v>349</v>
      </c>
      <c r="C66" s="166"/>
      <c r="D66" s="166"/>
      <c r="E66" s="166"/>
      <c r="F66" s="166"/>
      <c r="G66" s="166"/>
      <c r="H66" s="166"/>
      <c r="I66" s="166"/>
      <c r="J66" s="166"/>
      <c r="K66" s="167"/>
    </row>
    <row r="67" spans="1:11" ht="12.75">
      <c r="A67" s="142" t="s">
        <v>350</v>
      </c>
      <c r="B67" s="142">
        <v>563.9</v>
      </c>
      <c r="C67" s="143">
        <v>7.5</v>
      </c>
      <c r="D67" s="143">
        <v>4.2</v>
      </c>
      <c r="E67" s="144"/>
      <c r="F67" s="144"/>
      <c r="G67" s="144"/>
      <c r="H67" s="145">
        <v>6</v>
      </c>
      <c r="I67" s="146"/>
      <c r="J67" s="145">
        <v>5</v>
      </c>
      <c r="K67" s="147"/>
    </row>
    <row r="68" spans="1:11" ht="12.75">
      <c r="A68" s="142" t="s">
        <v>351</v>
      </c>
      <c r="B68" s="142">
        <v>566.9</v>
      </c>
      <c r="C68" s="143">
        <v>3.7</v>
      </c>
      <c r="D68" s="143">
        <v>0.6</v>
      </c>
      <c r="E68" s="144">
        <f>(B68-B67)*((C68+C67)/2)</f>
        <v>16.799999999999997</v>
      </c>
      <c r="F68" s="144">
        <f>(B68-B67)*((D68+D67)/2)</f>
        <v>7.199999999999999</v>
      </c>
      <c r="G68" s="144">
        <f t="shared" si="3"/>
        <v>23.999999999999996</v>
      </c>
      <c r="H68" s="145">
        <v>7.4</v>
      </c>
      <c r="I68" s="146">
        <f>(B68-B67)*((H68+H67)/2)</f>
        <v>20.1</v>
      </c>
      <c r="J68" s="145">
        <v>6.2</v>
      </c>
      <c r="K68" s="147">
        <f>(B68-B67)*((J68+J67)/2)</f>
        <v>16.799999999999997</v>
      </c>
    </row>
    <row r="69" spans="1:11" ht="12.75">
      <c r="A69" s="142" t="s">
        <v>352</v>
      </c>
      <c r="B69" s="142">
        <v>573.9</v>
      </c>
      <c r="C69" s="143">
        <v>0.5</v>
      </c>
      <c r="D69" s="143">
        <v>0.5</v>
      </c>
      <c r="E69" s="144">
        <f>(B69-B68)*((C69+C68)/2)</f>
        <v>14.700000000000001</v>
      </c>
      <c r="F69" s="144">
        <f>(B69-B68)*((D69+D68)/2)</f>
        <v>3.8500000000000005</v>
      </c>
      <c r="G69" s="144">
        <f t="shared" si="3"/>
        <v>18.55</v>
      </c>
      <c r="H69" s="145">
        <v>7.8</v>
      </c>
      <c r="I69" s="146">
        <f>(B69-B68)*((H69+H68)/2)</f>
        <v>53.199999999999996</v>
      </c>
      <c r="J69" s="145">
        <v>6</v>
      </c>
      <c r="K69" s="147">
        <f>(B69-B68)*((J69+J68)/2)</f>
        <v>42.699999999999996</v>
      </c>
    </row>
    <row r="70" spans="1:11" ht="12.75" customHeight="1">
      <c r="A70"/>
      <c r="B70" s="168" t="s">
        <v>9</v>
      </c>
      <c r="C70" s="168"/>
      <c r="D70" s="168"/>
      <c r="E70" s="148">
        <f>SUM(E63:E69)</f>
        <v>76</v>
      </c>
      <c r="F70" s="148">
        <f>ROUND(SUM(F63:F69),1)</f>
        <v>21.3</v>
      </c>
      <c r="G70" s="148">
        <f>ROUND(SUM(G63:G69),1)</f>
        <v>97.3</v>
      </c>
      <c r="H70" s="149"/>
      <c r="I70" s="148">
        <f>ROUND(SUM(I63:I69),1)</f>
        <v>140.6</v>
      </c>
      <c r="J70" s="149"/>
      <c r="K70" s="148">
        <f>ROUND(SUM(K63:K69),1)</f>
        <v>59.5</v>
      </c>
    </row>
    <row r="74" ht="12.75" customHeight="1"/>
  </sheetData>
  <sheetProtection/>
  <mergeCells count="52">
    <mergeCell ref="B38:H38"/>
    <mergeCell ref="B40:K40"/>
    <mergeCell ref="A22:H22"/>
    <mergeCell ref="A17:G17"/>
    <mergeCell ref="B23:H23"/>
    <mergeCell ref="A33:C33"/>
    <mergeCell ref="A31:C31"/>
    <mergeCell ref="A29:C29"/>
    <mergeCell ref="A32:C32"/>
    <mergeCell ref="A30:C30"/>
    <mergeCell ref="A27:C27"/>
    <mergeCell ref="A37:H37"/>
    <mergeCell ref="H59:H60"/>
    <mergeCell ref="I59:I60"/>
    <mergeCell ref="A1:H1"/>
    <mergeCell ref="A4:A5"/>
    <mergeCell ref="A18:G18"/>
    <mergeCell ref="A19:G19"/>
    <mergeCell ref="B4:B5"/>
    <mergeCell ref="B2:H2"/>
    <mergeCell ref="C16:D16"/>
    <mergeCell ref="A28:C28"/>
    <mergeCell ref="B70:D70"/>
    <mergeCell ref="A41:A44"/>
    <mergeCell ref="B41:B44"/>
    <mergeCell ref="C41:G41"/>
    <mergeCell ref="H41:I41"/>
    <mergeCell ref="J41:K41"/>
    <mergeCell ref="A58:A61"/>
    <mergeCell ref="B58:B61"/>
    <mergeCell ref="C58:G58"/>
    <mergeCell ref="H58:I58"/>
    <mergeCell ref="I42:I43"/>
    <mergeCell ref="J42:J43"/>
    <mergeCell ref="J59:J60"/>
    <mergeCell ref="K59:K60"/>
    <mergeCell ref="B62:K62"/>
    <mergeCell ref="B66:K66"/>
    <mergeCell ref="J58:K58"/>
    <mergeCell ref="C59:D59"/>
    <mergeCell ref="E59:F59"/>
    <mergeCell ref="G59:G60"/>
    <mergeCell ref="K42:K43"/>
    <mergeCell ref="B45:K45"/>
    <mergeCell ref="B51:D51"/>
    <mergeCell ref="B57:I57"/>
    <mergeCell ref="J57:K57"/>
    <mergeCell ref="B52:E52"/>
    <mergeCell ref="C42:D42"/>
    <mergeCell ref="E42:F42"/>
    <mergeCell ref="G42:G43"/>
    <mergeCell ref="H42:H4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  <rowBreaks count="1" manualBreakCount="1">
    <brk id="3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R306"/>
  <sheetViews>
    <sheetView view="pageBreakPreview" zoomScale="115" zoomScaleNormal="145" zoomScaleSheetLayoutView="115" zoomScalePageLayoutView="0" workbookViewId="0" topLeftCell="A246">
      <selection activeCell="D249" sqref="D249"/>
    </sheetView>
  </sheetViews>
  <sheetFormatPr defaultColWidth="9.00390625" defaultRowHeight="12.75"/>
  <cols>
    <col min="1" max="1" width="4.625" style="36" customWidth="1"/>
    <col min="2" max="2" width="12.875" style="36" customWidth="1"/>
    <col min="3" max="3" width="8.875" style="37" customWidth="1"/>
    <col min="4" max="4" width="66.875" style="38" customWidth="1"/>
    <col min="5" max="5" width="10.00390625" style="17" customWidth="1"/>
    <col min="6" max="6" width="11.125" style="64" customWidth="1"/>
    <col min="7" max="7" width="12.875" style="39" hidden="1" customWidth="1"/>
    <col min="8" max="8" width="12.75390625" style="39" hidden="1" customWidth="1"/>
    <col min="9" max="10" width="12.75390625" style="39" customWidth="1"/>
    <col min="11" max="11" width="9.125" style="17" customWidth="1"/>
    <col min="12" max="12" width="15.25390625" style="84" customWidth="1"/>
    <col min="13" max="13" width="10.625" style="17" bestFit="1" customWidth="1"/>
    <col min="14" max="14" width="10.375" style="17" customWidth="1"/>
    <col min="15" max="16384" width="9.125" style="17" customWidth="1"/>
  </cols>
  <sheetData>
    <row r="1" spans="1:10" ht="24.75" customHeight="1">
      <c r="A1" s="200" t="str">
        <f>OKŁADKA_P!A9</f>
        <v>PRZEDMIAR ROBÓT</v>
      </c>
      <c r="B1" s="201"/>
      <c r="C1" s="201"/>
      <c r="D1" s="201"/>
      <c r="E1" s="201"/>
      <c r="F1" s="201"/>
      <c r="G1" s="201"/>
      <c r="H1" s="201"/>
      <c r="I1" s="120"/>
      <c r="J1" s="120"/>
    </row>
    <row r="2" spans="1:10" ht="69.75" customHeight="1">
      <c r="A2" s="200" t="str">
        <f>OKŁADKA_P!A12</f>
        <v>Remont mostu w ciągu drogi gminnej publicznej Nr G114536 w miejscowości Jaśliska w km 0+543</v>
      </c>
      <c r="B2" s="201"/>
      <c r="C2" s="201"/>
      <c r="D2" s="201"/>
      <c r="E2" s="201"/>
      <c r="F2" s="201"/>
      <c r="G2" s="201"/>
      <c r="H2" s="201"/>
      <c r="I2" s="120"/>
      <c r="J2" s="120"/>
    </row>
    <row r="3" spans="1:10" ht="30" customHeight="1">
      <c r="A3" s="202" t="s">
        <v>181</v>
      </c>
      <c r="B3" s="203"/>
      <c r="C3" s="203"/>
      <c r="D3" s="203"/>
      <c r="E3" s="203"/>
      <c r="F3" s="203"/>
      <c r="G3" s="203"/>
      <c r="H3" s="203"/>
      <c r="I3" s="128"/>
      <c r="J3" s="128"/>
    </row>
    <row r="4" spans="1:10" ht="15" customHeight="1">
      <c r="A4" s="18"/>
      <c r="B4" s="18"/>
      <c r="C4" s="19"/>
      <c r="D4" s="20"/>
      <c r="E4" s="20"/>
      <c r="F4" s="62"/>
      <c r="G4" s="21"/>
      <c r="H4" s="21"/>
      <c r="I4" s="21"/>
      <c r="J4" s="21"/>
    </row>
    <row r="5" spans="1:10" ht="21.75" customHeight="1">
      <c r="A5" s="204" t="s">
        <v>7</v>
      </c>
      <c r="B5" s="205" t="s">
        <v>28</v>
      </c>
      <c r="C5" s="206" t="s">
        <v>29</v>
      </c>
      <c r="D5" s="198" t="s">
        <v>24</v>
      </c>
      <c r="E5" s="197" t="s">
        <v>19</v>
      </c>
      <c r="F5" s="197"/>
      <c r="G5" s="196" t="s">
        <v>22</v>
      </c>
      <c r="H5" s="196" t="s">
        <v>23</v>
      </c>
      <c r="I5" s="129"/>
      <c r="J5" s="129"/>
    </row>
    <row r="6" spans="1:13" ht="21.75" customHeight="1">
      <c r="A6" s="204"/>
      <c r="B6" s="205"/>
      <c r="C6" s="207"/>
      <c r="D6" s="199"/>
      <c r="E6" s="25" t="s">
        <v>20</v>
      </c>
      <c r="F6" s="58" t="s">
        <v>30</v>
      </c>
      <c r="G6" s="196"/>
      <c r="H6" s="196"/>
      <c r="I6" s="129"/>
      <c r="J6" s="129"/>
      <c r="L6" s="84" t="s">
        <v>117</v>
      </c>
      <c r="M6" s="17">
        <v>1000</v>
      </c>
    </row>
    <row r="7" spans="1:13" ht="30" customHeight="1">
      <c r="A7" s="101">
        <v>1</v>
      </c>
      <c r="B7" s="193" t="s">
        <v>36</v>
      </c>
      <c r="C7" s="193"/>
      <c r="D7" s="193"/>
      <c r="E7" s="193"/>
      <c r="F7" s="193"/>
      <c r="G7" s="193"/>
      <c r="H7" s="194"/>
      <c r="I7" s="130"/>
      <c r="J7" s="130"/>
      <c r="L7" s="84" t="s">
        <v>113</v>
      </c>
      <c r="M7" s="17">
        <v>20.9</v>
      </c>
    </row>
    <row r="8" spans="1:14" s="78" customFormat="1" ht="30" customHeight="1">
      <c r="A8" s="60" t="s">
        <v>245</v>
      </c>
      <c r="B8" s="60" t="s">
        <v>32</v>
      </c>
      <c r="C8" s="67"/>
      <c r="D8" s="60" t="s">
        <v>25</v>
      </c>
      <c r="E8" s="60" t="s">
        <v>21</v>
      </c>
      <c r="F8" s="54" t="s">
        <v>21</v>
      </c>
      <c r="G8" s="60" t="s">
        <v>21</v>
      </c>
      <c r="H8" s="60" t="s">
        <v>21</v>
      </c>
      <c r="I8" s="131"/>
      <c r="J8" s="131"/>
      <c r="L8" s="84" t="s">
        <v>114</v>
      </c>
      <c r="M8" s="78">
        <v>10</v>
      </c>
      <c r="N8" s="78">
        <v>10</v>
      </c>
    </row>
    <row r="9" spans="1:14" s="59" customFormat="1" ht="30" customHeight="1">
      <c r="A9" s="14" t="s">
        <v>21</v>
      </c>
      <c r="B9" s="14" t="s">
        <v>11</v>
      </c>
      <c r="C9" s="22"/>
      <c r="D9" s="23" t="s">
        <v>31</v>
      </c>
      <c r="E9" s="68" t="s">
        <v>21</v>
      </c>
      <c r="F9" s="27" t="s">
        <v>21</v>
      </c>
      <c r="G9" s="14" t="s">
        <v>21</v>
      </c>
      <c r="H9" s="14" t="s">
        <v>21</v>
      </c>
      <c r="I9" s="133"/>
      <c r="J9" s="133"/>
      <c r="L9" s="84" t="s">
        <v>115</v>
      </c>
      <c r="M9" s="17">
        <v>40</v>
      </c>
      <c r="N9" s="17"/>
    </row>
    <row r="10" spans="1:13" ht="30" customHeight="1">
      <c r="A10" s="10">
        <v>1</v>
      </c>
      <c r="B10" s="10" t="s">
        <v>11</v>
      </c>
      <c r="C10" s="24">
        <v>11</v>
      </c>
      <c r="D10" s="15" t="s">
        <v>44</v>
      </c>
      <c r="E10" s="25" t="s">
        <v>8</v>
      </c>
      <c r="F10" s="16">
        <f>SUM(F14,F12)</f>
        <v>0.1109</v>
      </c>
      <c r="G10" s="16">
        <v>35000</v>
      </c>
      <c r="H10" s="16">
        <f>IF(ROUND(F10*G10,2)=0," ",ROUND(F10*G10,2))</f>
        <v>3881.5</v>
      </c>
      <c r="I10" s="134"/>
      <c r="J10" s="134"/>
      <c r="M10" s="17">
        <v>30</v>
      </c>
    </row>
    <row r="11" spans="1:10" ht="12.75">
      <c r="A11" s="10"/>
      <c r="B11" s="10"/>
      <c r="C11" s="24"/>
      <c r="D11" s="15" t="s">
        <v>116</v>
      </c>
      <c r="E11" s="10"/>
      <c r="F11" s="16"/>
      <c r="G11" s="16"/>
      <c r="H11" s="16"/>
      <c r="I11" s="134"/>
      <c r="J11" s="134"/>
    </row>
    <row r="12" spans="1:10" ht="17.25" customHeight="1">
      <c r="A12" s="10"/>
      <c r="B12" s="10"/>
      <c r="C12" s="24"/>
      <c r="D12" s="15" t="str">
        <f>"("&amp;M7&amp;"+"&amp;M8&amp;"+"&amp;N8&amp;")/"&amp;M6&amp;""</f>
        <v>(20,9+10+10)/1000</v>
      </c>
      <c r="E12" s="10" t="s">
        <v>8</v>
      </c>
      <c r="F12" s="16">
        <f>(M7+M8+N8)/1000</f>
        <v>0.0409</v>
      </c>
      <c r="G12" s="16"/>
      <c r="H12" s="16"/>
      <c r="I12" s="134"/>
      <c r="J12" s="134"/>
    </row>
    <row r="13" spans="1:10" ht="25.5">
      <c r="A13" s="10"/>
      <c r="B13" s="10"/>
      <c r="C13" s="24"/>
      <c r="D13" s="15" t="s">
        <v>108</v>
      </c>
      <c r="E13" s="10"/>
      <c r="F13" s="16"/>
      <c r="G13" s="16"/>
      <c r="H13" s="16"/>
      <c r="I13" s="134"/>
      <c r="J13" s="134"/>
    </row>
    <row r="14" spans="1:10" ht="18.75" customHeight="1">
      <c r="A14" s="10"/>
      <c r="B14" s="10"/>
      <c r="C14" s="24"/>
      <c r="D14" s="15" t="str">
        <f>""&amp;M9&amp;"+"&amp;M10&amp;"/"&amp;M6&amp;""</f>
        <v>40+30/1000</v>
      </c>
      <c r="E14" s="10" t="s">
        <v>8</v>
      </c>
      <c r="F14" s="16">
        <f>(M9+M10+M11+M12)/M6</f>
        <v>0.07</v>
      </c>
      <c r="G14" s="16"/>
      <c r="H14" s="16"/>
      <c r="I14" s="134"/>
      <c r="J14" s="134"/>
    </row>
    <row r="15" spans="1:14" s="59" customFormat="1" ht="30" customHeight="1">
      <c r="A15" s="14" t="s">
        <v>21</v>
      </c>
      <c r="B15" s="14" t="s">
        <v>45</v>
      </c>
      <c r="C15" s="22"/>
      <c r="D15" s="23" t="s">
        <v>46</v>
      </c>
      <c r="E15" s="68" t="s">
        <v>21</v>
      </c>
      <c r="F15" s="27" t="s">
        <v>21</v>
      </c>
      <c r="G15" s="14" t="s">
        <v>21</v>
      </c>
      <c r="H15" s="14" t="s">
        <v>21</v>
      </c>
      <c r="I15" s="133"/>
      <c r="J15" s="133"/>
      <c r="L15" s="84"/>
      <c r="M15" s="17"/>
      <c r="N15" s="17"/>
    </row>
    <row r="16" spans="1:10" ht="25.5">
      <c r="A16" s="10">
        <f>A10+1</f>
        <v>2</v>
      </c>
      <c r="B16" s="10" t="s">
        <v>45</v>
      </c>
      <c r="C16" s="24">
        <v>11</v>
      </c>
      <c r="D16" s="15" t="s">
        <v>154</v>
      </c>
      <c r="E16" s="25" t="s">
        <v>112</v>
      </c>
      <c r="F16" s="16">
        <f>SUM(F17:F18)</f>
        <v>10.4</v>
      </c>
      <c r="G16" s="16">
        <v>547.93</v>
      </c>
      <c r="H16" s="16">
        <f>IF(ROUND(F16*G16,2)=0," ",ROUND(F16*G16,2))</f>
        <v>5698.47</v>
      </c>
      <c r="I16" s="134"/>
      <c r="J16" s="134"/>
    </row>
    <row r="17" spans="1:10" ht="41.25" customHeight="1">
      <c r="A17" s="10"/>
      <c r="B17" s="10"/>
      <c r="C17" s="24"/>
      <c r="D17" s="15" t="s">
        <v>281</v>
      </c>
      <c r="E17" s="10"/>
      <c r="F17" s="16"/>
      <c r="G17" s="16"/>
      <c r="H17" s="16"/>
      <c r="I17" s="134"/>
      <c r="J17" s="134"/>
    </row>
    <row r="18" spans="1:10" ht="20.25" customHeight="1">
      <c r="A18" s="10"/>
      <c r="B18" s="10"/>
      <c r="C18" s="24"/>
      <c r="D18" s="112">
        <f>TABELE!H19</f>
        <v>10.4</v>
      </c>
      <c r="E18" s="10"/>
      <c r="F18" s="16">
        <f>D18</f>
        <v>10.4</v>
      </c>
      <c r="G18" s="16"/>
      <c r="H18" s="16"/>
      <c r="I18" s="134"/>
      <c r="J18" s="134"/>
    </row>
    <row r="19" spans="1:14" s="59" customFormat="1" ht="30" customHeight="1">
      <c r="A19" s="14" t="s">
        <v>21</v>
      </c>
      <c r="B19" s="14" t="s">
        <v>95</v>
      </c>
      <c r="C19" s="22"/>
      <c r="D19" s="23" t="s">
        <v>96</v>
      </c>
      <c r="E19" s="68" t="s">
        <v>21</v>
      </c>
      <c r="F19" s="27" t="s">
        <v>21</v>
      </c>
      <c r="G19" s="14" t="s">
        <v>21</v>
      </c>
      <c r="H19" s="14" t="s">
        <v>21</v>
      </c>
      <c r="I19" s="133"/>
      <c r="J19" s="133"/>
      <c r="L19" s="84"/>
      <c r="M19" s="17"/>
      <c r="N19" s="17"/>
    </row>
    <row r="20" spans="1:10" ht="30.75" customHeight="1">
      <c r="A20" s="10">
        <f>A16+1</f>
        <v>3</v>
      </c>
      <c r="B20" s="10" t="s">
        <v>95</v>
      </c>
      <c r="C20" s="24" t="s">
        <v>43</v>
      </c>
      <c r="D20" s="15" t="s">
        <v>363</v>
      </c>
      <c r="E20" s="25" t="s">
        <v>111</v>
      </c>
      <c r="F20" s="16">
        <f>F22</f>
        <v>17</v>
      </c>
      <c r="G20" s="16">
        <v>50</v>
      </c>
      <c r="H20" s="16">
        <f>IF(ROUND(F20*G20,2)=0," ",ROUND(F20*G20,2))</f>
        <v>850</v>
      </c>
      <c r="I20" s="134"/>
      <c r="J20" s="134"/>
    </row>
    <row r="21" spans="1:10" ht="54.75" customHeight="1">
      <c r="A21" s="10"/>
      <c r="B21" s="10"/>
      <c r="C21" s="24"/>
      <c r="D21" s="15" t="s">
        <v>362</v>
      </c>
      <c r="E21" s="10"/>
      <c r="F21" s="16"/>
      <c r="G21" s="16"/>
      <c r="H21" s="16"/>
      <c r="I21" s="134"/>
      <c r="J21" s="134"/>
    </row>
    <row r="22" spans="1:10" ht="21" customHeight="1">
      <c r="A22" s="10"/>
      <c r="B22" s="10"/>
      <c r="C22" s="24"/>
      <c r="D22" s="114" t="s">
        <v>361</v>
      </c>
      <c r="E22" s="25" t="s">
        <v>111</v>
      </c>
      <c r="F22" s="16">
        <f>1*8.5*2</f>
        <v>17</v>
      </c>
      <c r="G22" s="16"/>
      <c r="H22" s="16"/>
      <c r="I22" s="134"/>
      <c r="J22" s="134"/>
    </row>
    <row r="23" spans="1:10" ht="30" customHeight="1">
      <c r="A23" s="10">
        <f>A20+1</f>
        <v>4</v>
      </c>
      <c r="B23" s="10" t="s">
        <v>95</v>
      </c>
      <c r="C23" s="24" t="s">
        <v>266</v>
      </c>
      <c r="D23" s="15" t="s">
        <v>286</v>
      </c>
      <c r="E23" s="25" t="s">
        <v>10</v>
      </c>
      <c r="F23" s="16">
        <f>F25</f>
        <v>49.8</v>
      </c>
      <c r="G23" s="102"/>
      <c r="H23" s="53"/>
      <c r="I23" s="132"/>
      <c r="J23" s="132"/>
    </row>
    <row r="24" spans="1:10" ht="32.25" customHeight="1">
      <c r="A24" s="10"/>
      <c r="B24" s="10"/>
      <c r="C24" s="109" t="s">
        <v>267</v>
      </c>
      <c r="D24" s="15" t="s">
        <v>268</v>
      </c>
      <c r="E24" s="10"/>
      <c r="F24" s="16"/>
      <c r="G24" s="102"/>
      <c r="H24" s="53"/>
      <c r="I24" s="132"/>
      <c r="J24" s="132"/>
    </row>
    <row r="25" spans="1:10" ht="18" customHeight="1">
      <c r="A25" s="10"/>
      <c r="B25" s="10"/>
      <c r="C25" s="24"/>
      <c r="D25" s="114" t="s">
        <v>287</v>
      </c>
      <c r="E25" s="25" t="s">
        <v>10</v>
      </c>
      <c r="F25" s="16">
        <f>(20.9+2*2)*2</f>
        <v>49.8</v>
      </c>
      <c r="G25" s="102"/>
      <c r="H25" s="53"/>
      <c r="I25" s="132"/>
      <c r="J25" s="132"/>
    </row>
    <row r="26" spans="1:10" ht="18" customHeight="1">
      <c r="A26" s="10"/>
      <c r="B26" s="14"/>
      <c r="C26" s="22"/>
      <c r="D26" s="192" t="str">
        <f>"OGÓŁEM: "&amp;D8&amp;""</f>
        <v>OGÓŁEM: ROBOTY PRZYGOTOWAWCZE</v>
      </c>
      <c r="E26" s="192"/>
      <c r="F26" s="192"/>
      <c r="G26" s="192"/>
      <c r="H26" s="53"/>
      <c r="I26" s="132"/>
      <c r="J26" s="132"/>
    </row>
    <row r="27" spans="1:12" s="78" customFormat="1" ht="30" customHeight="1">
      <c r="A27" s="60" t="s">
        <v>447</v>
      </c>
      <c r="B27" s="60" t="s">
        <v>33</v>
      </c>
      <c r="C27" s="67"/>
      <c r="D27" s="60" t="s">
        <v>26</v>
      </c>
      <c r="E27" s="60" t="s">
        <v>21</v>
      </c>
      <c r="F27" s="54" t="s">
        <v>21</v>
      </c>
      <c r="G27" s="60" t="s">
        <v>21</v>
      </c>
      <c r="H27" s="60" t="s">
        <v>21</v>
      </c>
      <c r="I27" s="131"/>
      <c r="J27" s="131"/>
      <c r="L27" s="84"/>
    </row>
    <row r="28" spans="1:14" s="59" customFormat="1" ht="30" customHeight="1">
      <c r="A28" s="14" t="s">
        <v>21</v>
      </c>
      <c r="B28" s="14" t="s">
        <v>34</v>
      </c>
      <c r="C28" s="22"/>
      <c r="D28" s="23" t="s">
        <v>35</v>
      </c>
      <c r="E28" s="68" t="s">
        <v>21</v>
      </c>
      <c r="F28" s="27" t="s">
        <v>21</v>
      </c>
      <c r="G28" s="14" t="s">
        <v>21</v>
      </c>
      <c r="H28" s="14" t="s">
        <v>21</v>
      </c>
      <c r="I28" s="133"/>
      <c r="J28" s="133"/>
      <c r="L28" s="84"/>
      <c r="M28" s="17"/>
      <c r="N28" s="17"/>
    </row>
    <row r="29" spans="1:10" ht="30" customHeight="1">
      <c r="A29" s="10">
        <f>A23+1</f>
        <v>5</v>
      </c>
      <c r="B29" s="10" t="s">
        <v>34</v>
      </c>
      <c r="C29" s="24" t="s">
        <v>43</v>
      </c>
      <c r="D29" s="15" t="s">
        <v>329</v>
      </c>
      <c r="E29" s="25" t="s">
        <v>112</v>
      </c>
      <c r="F29" s="16">
        <f>1.2*(F31+F33)</f>
        <v>549.6</v>
      </c>
      <c r="G29" s="16">
        <v>11.63</v>
      </c>
      <c r="H29" s="16">
        <f>IF(ROUND(F29*G29,2)=0," ",ROUND(F29*G29,2))</f>
        <v>6391.85</v>
      </c>
      <c r="I29" s="134"/>
      <c r="J29" s="134"/>
    </row>
    <row r="30" spans="1:13" ht="54" customHeight="1">
      <c r="A30" s="10"/>
      <c r="B30" s="10"/>
      <c r="C30" s="24"/>
      <c r="D30" s="15" t="s">
        <v>328</v>
      </c>
      <c r="E30" s="25"/>
      <c r="F30" s="16"/>
      <c r="G30" s="16"/>
      <c r="H30" s="16"/>
      <c r="I30" s="134"/>
      <c r="J30" s="134"/>
      <c r="M30" s="50"/>
    </row>
    <row r="31" spans="1:10" ht="18" customHeight="1">
      <c r="A31" s="10"/>
      <c r="B31" s="10"/>
      <c r="C31" s="24"/>
      <c r="D31" s="114">
        <f>TABELE!E54</f>
        <v>382</v>
      </c>
      <c r="E31" s="25" t="s">
        <v>112</v>
      </c>
      <c r="F31" s="16">
        <f>D31</f>
        <v>382</v>
      </c>
      <c r="G31" s="16"/>
      <c r="H31" s="16"/>
      <c r="I31" s="134"/>
      <c r="J31" s="134"/>
    </row>
    <row r="32" spans="1:10" ht="28.5" customHeight="1">
      <c r="A32" s="10"/>
      <c r="B32" s="10"/>
      <c r="C32" s="24"/>
      <c r="D32" s="15" t="s">
        <v>364</v>
      </c>
      <c r="E32" s="25"/>
      <c r="F32" s="16"/>
      <c r="G32" s="16"/>
      <c r="H32" s="16"/>
      <c r="I32" s="134"/>
      <c r="J32" s="134"/>
    </row>
    <row r="33" spans="1:10" ht="20.25" customHeight="1">
      <c r="A33" s="10"/>
      <c r="B33" s="10"/>
      <c r="C33" s="24"/>
      <c r="D33" s="114">
        <f>TABELE!E70</f>
        <v>76</v>
      </c>
      <c r="E33" s="25" t="s">
        <v>112</v>
      </c>
      <c r="F33" s="16">
        <f>TABELE!E70</f>
        <v>76</v>
      </c>
      <c r="G33" s="16"/>
      <c r="H33" s="16"/>
      <c r="I33" s="134"/>
      <c r="J33" s="134"/>
    </row>
    <row r="34" spans="1:10" ht="30" customHeight="1">
      <c r="A34" s="14" t="s">
        <v>21</v>
      </c>
      <c r="B34" s="14" t="s">
        <v>269</v>
      </c>
      <c r="C34" s="22"/>
      <c r="D34" s="23" t="s">
        <v>270</v>
      </c>
      <c r="E34" s="68" t="s">
        <v>21</v>
      </c>
      <c r="F34" s="27" t="s">
        <v>21</v>
      </c>
      <c r="G34" s="102"/>
      <c r="H34" s="53"/>
      <c r="I34" s="132"/>
      <c r="J34" s="132"/>
    </row>
    <row r="35" spans="1:10" ht="30" customHeight="1">
      <c r="A35" s="10">
        <f>A29+1</f>
        <v>6</v>
      </c>
      <c r="B35" s="10" t="s">
        <v>269</v>
      </c>
      <c r="C35" s="24" t="s">
        <v>43</v>
      </c>
      <c r="D35" s="15" t="s">
        <v>271</v>
      </c>
      <c r="E35" s="25" t="s">
        <v>112</v>
      </c>
      <c r="F35" s="16">
        <f>F37+F39</f>
        <v>570.9</v>
      </c>
      <c r="G35" s="102"/>
      <c r="H35" s="53"/>
      <c r="I35" s="132"/>
      <c r="J35" s="132"/>
    </row>
    <row r="36" spans="1:10" ht="32.25" customHeight="1">
      <c r="A36" s="25"/>
      <c r="B36" s="14"/>
      <c r="C36" s="22"/>
      <c r="D36" s="15" t="s">
        <v>272</v>
      </c>
      <c r="E36" s="25"/>
      <c r="F36" s="16"/>
      <c r="G36" s="102"/>
      <c r="H36" s="53"/>
      <c r="I36" s="132"/>
      <c r="J36" s="132"/>
    </row>
    <row r="37" spans="1:10" ht="30" customHeight="1">
      <c r="A37" s="25"/>
      <c r="B37" s="14"/>
      <c r="C37" s="22"/>
      <c r="D37" s="114">
        <f>F29</f>
        <v>549.6</v>
      </c>
      <c r="E37" s="25" t="s">
        <v>112</v>
      </c>
      <c r="F37" s="16">
        <f>D37</f>
        <v>549.6</v>
      </c>
      <c r="G37" s="102"/>
      <c r="H37" s="53"/>
      <c r="I37" s="132"/>
      <c r="J37" s="132"/>
    </row>
    <row r="38" spans="1:10" ht="30" customHeight="1">
      <c r="A38" s="25"/>
      <c r="B38" s="14"/>
      <c r="C38" s="22"/>
      <c r="D38" s="15" t="s">
        <v>366</v>
      </c>
      <c r="E38" s="25"/>
      <c r="F38" s="16"/>
      <c r="G38" s="102"/>
      <c r="H38" s="53"/>
      <c r="I38" s="132"/>
      <c r="J38" s="132"/>
    </row>
    <row r="39" spans="1:10" ht="30" customHeight="1">
      <c r="A39" s="25"/>
      <c r="B39" s="14"/>
      <c r="C39" s="22"/>
      <c r="D39" s="114">
        <f>TABELE!F70</f>
        <v>21.3</v>
      </c>
      <c r="E39" s="25" t="s">
        <v>112</v>
      </c>
      <c r="F39" s="16">
        <f>TABELE!F70</f>
        <v>21.3</v>
      </c>
      <c r="G39" s="102"/>
      <c r="H39" s="53"/>
      <c r="I39" s="132"/>
      <c r="J39" s="132"/>
    </row>
    <row r="40" spans="1:10" ht="23.25" customHeight="1">
      <c r="A40" s="10"/>
      <c r="B40" s="14"/>
      <c r="C40" s="22"/>
      <c r="D40" s="192" t="str">
        <f>"OGÓŁEM: "&amp;D27&amp;""</f>
        <v>OGÓŁEM: ROBOTY ZIEMNE</v>
      </c>
      <c r="E40" s="192"/>
      <c r="F40" s="192"/>
      <c r="G40" s="192"/>
      <c r="H40" s="53"/>
      <c r="I40" s="132"/>
      <c r="J40" s="132"/>
    </row>
    <row r="41" spans="1:12" s="78" customFormat="1" ht="30" customHeight="1">
      <c r="A41" s="60" t="s">
        <v>448</v>
      </c>
      <c r="B41" s="60" t="s">
        <v>47</v>
      </c>
      <c r="C41" s="67"/>
      <c r="D41" s="60" t="s">
        <v>48</v>
      </c>
      <c r="E41" s="60" t="s">
        <v>21</v>
      </c>
      <c r="F41" s="54" t="s">
        <v>21</v>
      </c>
      <c r="G41" s="60" t="s">
        <v>21</v>
      </c>
      <c r="H41" s="60" t="s">
        <v>21</v>
      </c>
      <c r="I41" s="131"/>
      <c r="J41" s="131"/>
      <c r="L41" s="84"/>
    </row>
    <row r="42" spans="1:10" ht="30" customHeight="1">
      <c r="A42" s="14" t="s">
        <v>21</v>
      </c>
      <c r="B42" s="14" t="s">
        <v>49</v>
      </c>
      <c r="C42" s="22"/>
      <c r="D42" s="23" t="s">
        <v>50</v>
      </c>
      <c r="E42" s="68" t="s">
        <v>21</v>
      </c>
      <c r="F42" s="27" t="s">
        <v>21</v>
      </c>
      <c r="G42" s="16" t="s">
        <v>21</v>
      </c>
      <c r="H42" s="16" t="s">
        <v>21</v>
      </c>
      <c r="I42" s="134"/>
      <c r="J42" s="134"/>
    </row>
    <row r="43" spans="1:10" ht="30" customHeight="1">
      <c r="A43" s="10">
        <f>A35+1</f>
        <v>7</v>
      </c>
      <c r="B43" s="10" t="s">
        <v>49</v>
      </c>
      <c r="C43" s="24" t="s">
        <v>75</v>
      </c>
      <c r="D43" s="15" t="s">
        <v>211</v>
      </c>
      <c r="E43" s="25" t="s">
        <v>111</v>
      </c>
      <c r="F43" s="16">
        <f>F45</f>
        <v>63.1</v>
      </c>
      <c r="G43" s="16">
        <v>29.85</v>
      </c>
      <c r="H43" s="16">
        <f>IF(ROUND(F43*G43,2)=0," ",ROUND(F43*G43,2))</f>
        <v>1883.54</v>
      </c>
      <c r="I43" s="134"/>
      <c r="J43" s="134"/>
    </row>
    <row r="44" spans="1:10" ht="25.5">
      <c r="A44" s="10"/>
      <c r="B44" s="10"/>
      <c r="C44" s="24"/>
      <c r="D44" s="15" t="s">
        <v>367</v>
      </c>
      <c r="E44" s="10"/>
      <c r="F44" s="16"/>
      <c r="G44" s="16"/>
      <c r="H44" s="16"/>
      <c r="I44" s="134"/>
      <c r="J44" s="134"/>
    </row>
    <row r="45" spans="1:10" ht="14.25">
      <c r="A45" s="10"/>
      <c r="B45" s="10"/>
      <c r="C45" s="24"/>
      <c r="D45" s="114">
        <f>TABELE!G29</f>
        <v>63.1</v>
      </c>
      <c r="E45" s="25" t="s">
        <v>111</v>
      </c>
      <c r="F45" s="16">
        <f>D45</f>
        <v>63.1</v>
      </c>
      <c r="G45" s="16"/>
      <c r="H45" s="16"/>
      <c r="I45" s="134"/>
      <c r="J45" s="134"/>
    </row>
    <row r="46" spans="1:10" ht="29.25" customHeight="1">
      <c r="A46" s="14" t="s">
        <v>21</v>
      </c>
      <c r="B46" s="14" t="s">
        <v>212</v>
      </c>
      <c r="C46" s="96"/>
      <c r="D46" s="23" t="s">
        <v>213</v>
      </c>
      <c r="E46" s="95" t="s">
        <v>21</v>
      </c>
      <c r="F46" s="95" t="s">
        <v>21</v>
      </c>
      <c r="G46" s="16"/>
      <c r="H46" s="16"/>
      <c r="I46" s="134"/>
      <c r="J46" s="134"/>
    </row>
    <row r="47" spans="1:10" ht="15">
      <c r="A47" s="10">
        <f>A43+1</f>
        <v>8</v>
      </c>
      <c r="B47" s="76" t="s">
        <v>212</v>
      </c>
      <c r="C47" s="77" t="s">
        <v>43</v>
      </c>
      <c r="D47" s="15" t="s">
        <v>259</v>
      </c>
      <c r="E47" s="25" t="s">
        <v>214</v>
      </c>
      <c r="F47" s="16">
        <f>F49</f>
        <v>42</v>
      </c>
      <c r="G47" s="16"/>
      <c r="H47" s="16"/>
      <c r="I47" s="134"/>
      <c r="J47" s="134"/>
    </row>
    <row r="48" spans="1:10" ht="25.5">
      <c r="A48" s="75"/>
      <c r="B48" s="76"/>
      <c r="C48" s="77"/>
      <c r="D48" s="15" t="s">
        <v>260</v>
      </c>
      <c r="E48" s="76"/>
      <c r="F48" s="16"/>
      <c r="G48" s="16"/>
      <c r="H48" s="16"/>
      <c r="I48" s="134"/>
      <c r="J48" s="134"/>
    </row>
    <row r="49" spans="1:10" ht="14.25">
      <c r="A49" s="10"/>
      <c r="B49" s="10"/>
      <c r="C49" s="24"/>
      <c r="D49" s="114">
        <f>TABELE!G30</f>
        <v>42</v>
      </c>
      <c r="E49" s="25" t="s">
        <v>111</v>
      </c>
      <c r="F49" s="16">
        <f>D49</f>
        <v>42</v>
      </c>
      <c r="G49" s="16"/>
      <c r="H49" s="16"/>
      <c r="I49" s="134"/>
      <c r="J49" s="134"/>
    </row>
    <row r="50" spans="1:10" ht="30" customHeight="1">
      <c r="A50" s="14" t="s">
        <v>21</v>
      </c>
      <c r="B50" s="14" t="s">
        <v>71</v>
      </c>
      <c r="C50" s="22"/>
      <c r="D50" s="23" t="s">
        <v>94</v>
      </c>
      <c r="E50" s="68" t="s">
        <v>21</v>
      </c>
      <c r="F50" s="27" t="s">
        <v>21</v>
      </c>
      <c r="G50" s="16" t="s">
        <v>21</v>
      </c>
      <c r="H50" s="16" t="s">
        <v>21</v>
      </c>
      <c r="I50" s="134"/>
      <c r="J50" s="134"/>
    </row>
    <row r="51" spans="1:10" ht="30" customHeight="1">
      <c r="A51" s="10">
        <f>A47+1</f>
        <v>9</v>
      </c>
      <c r="B51" s="10" t="s">
        <v>71</v>
      </c>
      <c r="C51" s="24" t="s">
        <v>69</v>
      </c>
      <c r="D51" s="15" t="s">
        <v>72</v>
      </c>
      <c r="E51" s="25" t="s">
        <v>111</v>
      </c>
      <c r="F51" s="16">
        <f>F54+F56</f>
        <v>294.8</v>
      </c>
      <c r="G51" s="16">
        <v>1.88</v>
      </c>
      <c r="H51" s="16">
        <f>IF(ROUND(F51*G51,2)=0," ",ROUND(F51*G51,2))</f>
        <v>554.22</v>
      </c>
      <c r="I51" s="134"/>
      <c r="J51" s="134"/>
    </row>
    <row r="52" spans="1:10" ht="39.75" customHeight="1">
      <c r="A52" s="10"/>
      <c r="B52" s="10"/>
      <c r="C52" s="24"/>
      <c r="D52" s="15" t="s">
        <v>261</v>
      </c>
      <c r="E52" s="25"/>
      <c r="F52" s="16"/>
      <c r="G52" s="16"/>
      <c r="H52" s="16"/>
      <c r="I52" s="134"/>
      <c r="J52" s="134"/>
    </row>
    <row r="53" spans="1:10" ht="12.75">
      <c r="A53" s="10"/>
      <c r="B53" s="10"/>
      <c r="C53" s="24"/>
      <c r="D53" s="15" t="s">
        <v>130</v>
      </c>
      <c r="E53" s="25"/>
      <c r="F53" s="16"/>
      <c r="G53" s="16"/>
      <c r="H53" s="16"/>
      <c r="I53" s="134"/>
      <c r="J53" s="134"/>
    </row>
    <row r="54" spans="1:10" ht="14.25">
      <c r="A54" s="10"/>
      <c r="B54" s="10"/>
      <c r="C54" s="24"/>
      <c r="D54" s="114">
        <f>TABELE!G28</f>
        <v>231.7</v>
      </c>
      <c r="E54" s="25" t="s">
        <v>111</v>
      </c>
      <c r="F54" s="16">
        <f>D54</f>
        <v>231.7</v>
      </c>
      <c r="G54" s="16"/>
      <c r="H54" s="16"/>
      <c r="I54" s="134"/>
      <c r="J54" s="134"/>
    </row>
    <row r="55" spans="1:10" ht="12.75">
      <c r="A55" s="10"/>
      <c r="B55" s="10"/>
      <c r="C55" s="24"/>
      <c r="D55" s="15" t="s">
        <v>174</v>
      </c>
      <c r="E55" s="25"/>
      <c r="F55" s="16"/>
      <c r="G55" s="16"/>
      <c r="H55" s="16"/>
      <c r="I55" s="134"/>
      <c r="J55" s="134"/>
    </row>
    <row r="56" spans="1:10" ht="14.25">
      <c r="A56" s="10"/>
      <c r="B56" s="10"/>
      <c r="C56" s="24"/>
      <c r="D56" s="114">
        <f>TABELE!G27</f>
        <v>63.1</v>
      </c>
      <c r="E56" s="25" t="s">
        <v>111</v>
      </c>
      <c r="F56" s="16">
        <f>D56</f>
        <v>63.1</v>
      </c>
      <c r="G56" s="16"/>
      <c r="H56" s="16"/>
      <c r="I56" s="134"/>
      <c r="J56" s="134"/>
    </row>
    <row r="57" spans="1:10" ht="30" customHeight="1">
      <c r="A57" s="10">
        <f>A51+1</f>
        <v>10</v>
      </c>
      <c r="B57" s="10" t="s">
        <v>71</v>
      </c>
      <c r="C57" s="24" t="s">
        <v>66</v>
      </c>
      <c r="D57" s="15" t="s">
        <v>73</v>
      </c>
      <c r="E57" s="25" t="s">
        <v>111</v>
      </c>
      <c r="F57" s="16">
        <f>F60+F62</f>
        <v>294.8</v>
      </c>
      <c r="G57" s="16">
        <v>2.85</v>
      </c>
      <c r="H57" s="16">
        <f>IF(ROUND(F57*G57,2)=0," ",ROUND(F57*G57,2))</f>
        <v>840.18</v>
      </c>
      <c r="I57" s="134"/>
      <c r="J57" s="134"/>
    </row>
    <row r="58" spans="1:10" ht="25.5">
      <c r="A58" s="10"/>
      <c r="B58" s="10"/>
      <c r="C58" s="24"/>
      <c r="D58" s="15" t="s">
        <v>189</v>
      </c>
      <c r="E58" s="25"/>
      <c r="F58" s="16"/>
      <c r="G58" s="16"/>
      <c r="H58" s="16"/>
      <c r="I58" s="134"/>
      <c r="J58" s="134"/>
    </row>
    <row r="59" spans="1:10" ht="12.75">
      <c r="A59" s="10"/>
      <c r="B59" s="10"/>
      <c r="C59" s="24"/>
      <c r="D59" s="15" t="s">
        <v>131</v>
      </c>
      <c r="E59" s="25"/>
      <c r="F59" s="16"/>
      <c r="G59" s="16"/>
      <c r="H59" s="16"/>
      <c r="I59" s="134"/>
      <c r="J59" s="134"/>
    </row>
    <row r="60" spans="1:10" ht="21.75" customHeight="1">
      <c r="A60" s="10"/>
      <c r="B60" s="10"/>
      <c r="C60" s="24"/>
      <c r="D60" s="114">
        <f>TABELE!G28</f>
        <v>231.7</v>
      </c>
      <c r="E60" s="25" t="s">
        <v>111</v>
      </c>
      <c r="F60" s="16">
        <f>D60</f>
        <v>231.7</v>
      </c>
      <c r="G60" s="16"/>
      <c r="H60" s="16"/>
      <c r="I60" s="134"/>
      <c r="J60" s="134"/>
    </row>
    <row r="61" spans="1:10" ht="12.75">
      <c r="A61" s="10"/>
      <c r="B61" s="10"/>
      <c r="C61" s="24"/>
      <c r="D61" s="15" t="s">
        <v>175</v>
      </c>
      <c r="E61" s="25"/>
      <c r="F61" s="16"/>
      <c r="G61" s="16"/>
      <c r="H61" s="16"/>
      <c r="I61" s="134"/>
      <c r="J61" s="134"/>
    </row>
    <row r="62" spans="1:10" ht="20.25" customHeight="1">
      <c r="A62" s="10"/>
      <c r="B62" s="10"/>
      <c r="C62" s="24"/>
      <c r="D62" s="114">
        <f>TABELE!G27</f>
        <v>63.1</v>
      </c>
      <c r="E62" s="25" t="s">
        <v>111</v>
      </c>
      <c r="F62" s="16">
        <f>D62</f>
        <v>63.1</v>
      </c>
      <c r="G62" s="16"/>
      <c r="H62" s="16"/>
      <c r="I62" s="134"/>
      <c r="J62" s="134"/>
    </row>
    <row r="63" spans="1:10" ht="30" customHeight="1">
      <c r="A63" s="14" t="s">
        <v>21</v>
      </c>
      <c r="B63" s="14" t="s">
        <v>68</v>
      </c>
      <c r="C63" s="22"/>
      <c r="D63" s="23" t="s">
        <v>67</v>
      </c>
      <c r="E63" s="14" t="s">
        <v>21</v>
      </c>
      <c r="F63" s="27" t="s">
        <v>21</v>
      </c>
      <c r="G63" s="16" t="s">
        <v>21</v>
      </c>
      <c r="H63" s="16" t="s">
        <v>21</v>
      </c>
      <c r="I63" s="134"/>
      <c r="J63" s="134"/>
    </row>
    <row r="64" spans="1:10" ht="30" customHeight="1">
      <c r="A64" s="10">
        <f>A57+1</f>
        <v>11</v>
      </c>
      <c r="B64" s="10" t="s">
        <v>68</v>
      </c>
      <c r="C64" s="24" t="s">
        <v>176</v>
      </c>
      <c r="D64" s="15" t="s">
        <v>202</v>
      </c>
      <c r="E64" s="25" t="s">
        <v>111</v>
      </c>
      <c r="F64" s="16">
        <f>F66</f>
        <v>63.1</v>
      </c>
      <c r="G64" s="16">
        <v>72.42</v>
      </c>
      <c r="H64" s="16">
        <f>IF(ROUND(F64*G64,2)=0," ",ROUND(F64*G64,2))</f>
        <v>4569.7</v>
      </c>
      <c r="I64" s="134"/>
      <c r="J64" s="134"/>
    </row>
    <row r="65" spans="1:10" ht="30" customHeight="1">
      <c r="A65" s="10"/>
      <c r="B65" s="10"/>
      <c r="C65" s="24"/>
      <c r="D65" s="15" t="s">
        <v>203</v>
      </c>
      <c r="E65" s="10"/>
      <c r="F65" s="16"/>
      <c r="G65" s="16"/>
      <c r="H65" s="16"/>
      <c r="I65" s="134"/>
      <c r="J65" s="134"/>
    </row>
    <row r="66" spans="1:10" ht="14.25">
      <c r="A66" s="10"/>
      <c r="B66" s="10"/>
      <c r="C66" s="24"/>
      <c r="D66" s="114">
        <f>TABELE!G31</f>
        <v>63.1</v>
      </c>
      <c r="E66" s="25" t="s">
        <v>111</v>
      </c>
      <c r="F66" s="16">
        <f>D66</f>
        <v>63.1</v>
      </c>
      <c r="G66" s="16"/>
      <c r="H66" s="16"/>
      <c r="I66" s="134"/>
      <c r="J66" s="134"/>
    </row>
    <row r="67" spans="1:10" ht="30" customHeight="1">
      <c r="A67" s="10"/>
      <c r="B67" s="14"/>
      <c r="C67" s="22"/>
      <c r="D67" s="192" t="str">
        <f>"OGÓŁEM: "&amp;D41&amp;""</f>
        <v>OGÓŁEM: PODBUDOWY</v>
      </c>
      <c r="E67" s="192"/>
      <c r="F67" s="192"/>
      <c r="G67" s="192"/>
      <c r="H67" s="53"/>
      <c r="I67" s="132"/>
      <c r="J67" s="132"/>
    </row>
    <row r="68" spans="1:12" s="78" customFormat="1" ht="30" customHeight="1">
      <c r="A68" s="60" t="s">
        <v>449</v>
      </c>
      <c r="B68" s="60" t="s">
        <v>37</v>
      </c>
      <c r="C68" s="67"/>
      <c r="D68" s="60" t="s">
        <v>38</v>
      </c>
      <c r="E68" s="60" t="s">
        <v>21</v>
      </c>
      <c r="F68" s="54" t="s">
        <v>21</v>
      </c>
      <c r="G68" s="60" t="s">
        <v>21</v>
      </c>
      <c r="H68" s="60" t="s">
        <v>21</v>
      </c>
      <c r="I68" s="131"/>
      <c r="J68" s="131"/>
      <c r="L68" s="84"/>
    </row>
    <row r="69" spans="1:10" ht="30" customHeight="1">
      <c r="A69" s="14" t="s">
        <v>21</v>
      </c>
      <c r="B69" s="14" t="s">
        <v>39</v>
      </c>
      <c r="C69" s="22"/>
      <c r="D69" s="23" t="s">
        <v>40</v>
      </c>
      <c r="E69" s="14" t="s">
        <v>21</v>
      </c>
      <c r="F69" s="27" t="s">
        <v>21</v>
      </c>
      <c r="G69" s="16" t="s">
        <v>21</v>
      </c>
      <c r="H69" s="16" t="s">
        <v>21</v>
      </c>
      <c r="I69" s="134"/>
      <c r="J69" s="134"/>
    </row>
    <row r="70" spans="1:10" ht="30" customHeight="1">
      <c r="A70" s="10">
        <f>A64+1</f>
        <v>12</v>
      </c>
      <c r="B70" s="10" t="s">
        <v>39</v>
      </c>
      <c r="C70" s="24" t="s">
        <v>43</v>
      </c>
      <c r="D70" s="15" t="s">
        <v>369</v>
      </c>
      <c r="E70" s="25" t="s">
        <v>111</v>
      </c>
      <c r="F70" s="11">
        <f>F72+F74</f>
        <v>231.7</v>
      </c>
      <c r="G70" s="16"/>
      <c r="H70" s="16"/>
      <c r="I70" s="134"/>
      <c r="J70" s="134"/>
    </row>
    <row r="71" spans="1:10" ht="30" customHeight="1">
      <c r="A71" s="10"/>
      <c r="B71" s="10"/>
      <c r="C71" s="24"/>
      <c r="D71" s="15" t="s">
        <v>370</v>
      </c>
      <c r="E71" s="10"/>
      <c r="F71" s="11"/>
      <c r="G71" s="16"/>
      <c r="H71" s="16"/>
      <c r="I71" s="134"/>
      <c r="J71" s="134"/>
    </row>
    <row r="72" spans="1:10" ht="30" customHeight="1">
      <c r="A72" s="10"/>
      <c r="B72" s="10"/>
      <c r="C72" s="24"/>
      <c r="D72" s="114">
        <f>TABELE!F32</f>
        <v>125.39999999999999</v>
      </c>
      <c r="E72" s="25" t="s">
        <v>111</v>
      </c>
      <c r="F72" s="11">
        <f>D72</f>
        <v>125.39999999999999</v>
      </c>
      <c r="G72" s="16"/>
      <c r="H72" s="16"/>
      <c r="I72" s="134"/>
      <c r="J72" s="134"/>
    </row>
    <row r="73" spans="1:10" ht="30" customHeight="1">
      <c r="A73" s="10"/>
      <c r="B73" s="10"/>
      <c r="C73" s="24"/>
      <c r="D73" s="15" t="s">
        <v>371</v>
      </c>
      <c r="E73" s="25"/>
      <c r="F73" s="11"/>
      <c r="G73" s="16"/>
      <c r="H73" s="16"/>
      <c r="I73" s="134"/>
      <c r="J73" s="134"/>
    </row>
    <row r="74" spans="1:10" ht="30" customHeight="1">
      <c r="A74" s="10"/>
      <c r="B74" s="10"/>
      <c r="C74" s="24"/>
      <c r="D74" s="114">
        <f>TABELE!D32+TABELE!E32</f>
        <v>106.30000000000001</v>
      </c>
      <c r="E74" s="25" t="s">
        <v>368</v>
      </c>
      <c r="F74" s="11">
        <f>D74</f>
        <v>106.30000000000001</v>
      </c>
      <c r="G74" s="16"/>
      <c r="H74" s="16"/>
      <c r="I74" s="134"/>
      <c r="J74" s="134"/>
    </row>
    <row r="75" spans="1:10" ht="30" customHeight="1">
      <c r="A75" s="10">
        <f>A70+1</f>
        <v>13</v>
      </c>
      <c r="B75" s="10" t="s">
        <v>39</v>
      </c>
      <c r="C75" s="24" t="s">
        <v>237</v>
      </c>
      <c r="D75" s="15" t="s">
        <v>373</v>
      </c>
      <c r="E75" s="25" t="s">
        <v>111</v>
      </c>
      <c r="F75" s="11">
        <f>F77</f>
        <v>233.8</v>
      </c>
      <c r="G75" s="16"/>
      <c r="H75" s="16"/>
      <c r="I75" s="134"/>
      <c r="J75" s="134"/>
    </row>
    <row r="76" spans="1:10" ht="25.5">
      <c r="A76" s="10"/>
      <c r="B76" s="10"/>
      <c r="C76" s="24"/>
      <c r="D76" s="15" t="s">
        <v>238</v>
      </c>
      <c r="E76" s="10"/>
      <c r="F76" s="11"/>
      <c r="G76" s="16"/>
      <c r="H76" s="16"/>
      <c r="I76" s="134"/>
      <c r="J76" s="134"/>
    </row>
    <row r="77" spans="1:10" ht="30" customHeight="1">
      <c r="A77" s="10"/>
      <c r="B77" s="10"/>
      <c r="C77" s="24"/>
      <c r="D77" s="114">
        <f>TABELE!G33</f>
        <v>233.8</v>
      </c>
      <c r="E77" s="25" t="s">
        <v>111</v>
      </c>
      <c r="F77" s="11">
        <f>TABELE!G33</f>
        <v>233.8</v>
      </c>
      <c r="G77" s="16"/>
      <c r="H77" s="16"/>
      <c r="I77" s="134"/>
      <c r="J77" s="134"/>
    </row>
    <row r="78" spans="1:10" ht="30" customHeight="1">
      <c r="A78" s="10"/>
      <c r="B78" s="14"/>
      <c r="C78" s="22"/>
      <c r="D78" s="192" t="str">
        <f>"OGÓŁEM: "&amp;D68&amp;""</f>
        <v>OGÓŁEM: NAWIERZCHNIE</v>
      </c>
      <c r="E78" s="192"/>
      <c r="F78" s="192"/>
      <c r="G78" s="192"/>
      <c r="H78" s="53"/>
      <c r="I78" s="132"/>
      <c r="J78" s="132"/>
    </row>
    <row r="79" spans="1:10" ht="30" customHeight="1">
      <c r="A79" s="60" t="s">
        <v>450</v>
      </c>
      <c r="B79" s="60" t="s">
        <v>374</v>
      </c>
      <c r="C79" s="67"/>
      <c r="D79" s="60" t="s">
        <v>375</v>
      </c>
      <c r="E79" s="60" t="s">
        <v>21</v>
      </c>
      <c r="F79" s="54" t="s">
        <v>21</v>
      </c>
      <c r="G79" s="102"/>
      <c r="H79" s="53"/>
      <c r="I79" s="132"/>
      <c r="J79" s="132"/>
    </row>
    <row r="80" spans="1:10" ht="30" customHeight="1">
      <c r="A80" s="152" t="s">
        <v>21</v>
      </c>
      <c r="B80" s="121" t="s">
        <v>376</v>
      </c>
      <c r="C80" s="153"/>
      <c r="D80" s="154" t="s">
        <v>377</v>
      </c>
      <c r="E80" s="121" t="s">
        <v>21</v>
      </c>
      <c r="F80" s="121" t="s">
        <v>21</v>
      </c>
      <c r="G80" s="102"/>
      <c r="H80" s="53"/>
      <c r="I80" s="132"/>
      <c r="J80" s="132"/>
    </row>
    <row r="81" spans="1:10" ht="30" customHeight="1">
      <c r="A81" s="75">
        <f>A75+1</f>
        <v>14</v>
      </c>
      <c r="B81" s="76" t="s">
        <v>376</v>
      </c>
      <c r="C81" s="77" t="s">
        <v>378</v>
      </c>
      <c r="D81" s="155" t="s">
        <v>379</v>
      </c>
      <c r="E81" s="156" t="s">
        <v>214</v>
      </c>
      <c r="F81" s="157">
        <f>F82</f>
        <v>59.5</v>
      </c>
      <c r="G81" s="102"/>
      <c r="H81" s="53"/>
      <c r="I81" s="132"/>
      <c r="J81" s="132"/>
    </row>
    <row r="82" spans="1:10" ht="30" customHeight="1">
      <c r="A82" s="75"/>
      <c r="B82" s="76"/>
      <c r="C82" s="77"/>
      <c r="D82" s="155" t="s">
        <v>380</v>
      </c>
      <c r="E82" s="76"/>
      <c r="F82" s="157">
        <f>TABELE!K70</f>
        <v>59.5</v>
      </c>
      <c r="G82" s="102"/>
      <c r="H82" s="53"/>
      <c r="I82" s="132"/>
      <c r="J82" s="132"/>
    </row>
    <row r="83" spans="1:10" ht="30" customHeight="1">
      <c r="A83" s="75">
        <f>A81+1</f>
        <v>15</v>
      </c>
      <c r="B83" s="76" t="s">
        <v>376</v>
      </c>
      <c r="C83" s="77">
        <v>22</v>
      </c>
      <c r="D83" s="155" t="s">
        <v>381</v>
      </c>
      <c r="E83" s="156" t="s">
        <v>214</v>
      </c>
      <c r="F83" s="157">
        <f>F84</f>
        <v>71</v>
      </c>
      <c r="G83" s="102"/>
      <c r="H83" s="53"/>
      <c r="I83" s="132"/>
      <c r="J83" s="132"/>
    </row>
    <row r="84" spans="1:10" ht="30" customHeight="1">
      <c r="A84" s="75"/>
      <c r="B84" s="76"/>
      <c r="C84" s="77"/>
      <c r="D84" s="155" t="s">
        <v>382</v>
      </c>
      <c r="E84" s="76"/>
      <c r="F84" s="157">
        <v>71</v>
      </c>
      <c r="G84" s="102"/>
      <c r="H84" s="53"/>
      <c r="I84" s="132"/>
      <c r="J84" s="132"/>
    </row>
    <row r="85" spans="1:10" ht="30" customHeight="1">
      <c r="A85" s="75">
        <f>A83+1</f>
        <v>16</v>
      </c>
      <c r="B85" s="76" t="s">
        <v>383</v>
      </c>
      <c r="C85" s="77" t="s">
        <v>237</v>
      </c>
      <c r="D85" s="155" t="s">
        <v>384</v>
      </c>
      <c r="E85" s="156" t="s">
        <v>214</v>
      </c>
      <c r="F85" s="157">
        <f>F86</f>
        <v>70.1</v>
      </c>
      <c r="G85" s="102"/>
      <c r="H85" s="53"/>
      <c r="I85" s="132"/>
      <c r="J85" s="132"/>
    </row>
    <row r="86" spans="1:10" ht="30" customHeight="1">
      <c r="A86" s="75"/>
      <c r="B86" s="76"/>
      <c r="C86" s="77"/>
      <c r="D86" s="155" t="s">
        <v>385</v>
      </c>
      <c r="E86" s="76"/>
      <c r="F86" s="157">
        <f>24*2.4+2.5*5</f>
        <v>70.1</v>
      </c>
      <c r="G86" s="102"/>
      <c r="H86" s="53"/>
      <c r="I86" s="132"/>
      <c r="J86" s="132"/>
    </row>
    <row r="87" spans="1:10" ht="30" customHeight="1">
      <c r="A87" s="75">
        <f>A85+1</f>
        <v>17</v>
      </c>
      <c r="B87" s="76" t="s">
        <v>386</v>
      </c>
      <c r="C87" s="77" t="s">
        <v>387</v>
      </c>
      <c r="D87" s="155" t="s">
        <v>388</v>
      </c>
      <c r="E87" s="156" t="s">
        <v>214</v>
      </c>
      <c r="F87" s="157">
        <f>F88</f>
        <v>59.5</v>
      </c>
      <c r="G87" s="102"/>
      <c r="H87" s="53"/>
      <c r="I87" s="132"/>
      <c r="J87" s="132"/>
    </row>
    <row r="88" spans="1:10" ht="30" customHeight="1">
      <c r="A88" s="75"/>
      <c r="B88" s="76"/>
      <c r="C88" s="77"/>
      <c r="D88" s="155" t="s">
        <v>389</v>
      </c>
      <c r="E88" s="76"/>
      <c r="F88" s="157">
        <v>59.5</v>
      </c>
      <c r="G88" s="102"/>
      <c r="H88" s="53"/>
      <c r="I88" s="132"/>
      <c r="J88" s="132"/>
    </row>
    <row r="89" spans="1:10" ht="30" customHeight="1">
      <c r="A89" s="10"/>
      <c r="B89" s="14"/>
      <c r="C89" s="22"/>
      <c r="D89" s="192" t="str">
        <f>"OGÓŁEM: "&amp;D79&amp;""</f>
        <v>OGÓŁEM: ROBOTY WYKOŃCZENIOWE</v>
      </c>
      <c r="E89" s="192"/>
      <c r="F89" s="192"/>
      <c r="G89" s="192"/>
      <c r="H89" s="53"/>
      <c r="I89" s="132"/>
      <c r="J89" s="132"/>
    </row>
    <row r="90" spans="1:12" s="78" customFormat="1" ht="30" customHeight="1">
      <c r="A90" s="60" t="s">
        <v>451</v>
      </c>
      <c r="B90" s="60" t="s">
        <v>2</v>
      </c>
      <c r="C90" s="67"/>
      <c r="D90" s="60" t="s">
        <v>3</v>
      </c>
      <c r="E90" s="60" t="s">
        <v>21</v>
      </c>
      <c r="F90" s="54" t="s">
        <v>21</v>
      </c>
      <c r="G90" s="60" t="s">
        <v>21</v>
      </c>
      <c r="H90" s="60" t="s">
        <v>21</v>
      </c>
      <c r="I90" s="131"/>
      <c r="J90" s="131"/>
      <c r="L90" s="84"/>
    </row>
    <row r="91" spans="1:12" s="78" customFormat="1" ht="30" customHeight="1">
      <c r="A91" s="152" t="s">
        <v>21</v>
      </c>
      <c r="B91" s="121" t="s">
        <v>436</v>
      </c>
      <c r="C91" s="153"/>
      <c r="D91" s="23" t="s">
        <v>437</v>
      </c>
      <c r="E91" s="121" t="s">
        <v>21</v>
      </c>
      <c r="F91" s="121" t="s">
        <v>21</v>
      </c>
      <c r="G91" s="60"/>
      <c r="H91" s="60"/>
      <c r="I91" s="131"/>
      <c r="J91" s="131"/>
      <c r="L91" s="84"/>
    </row>
    <row r="92" spans="1:12" s="78" customFormat="1" ht="30" customHeight="1">
      <c r="A92" s="75">
        <f>A87+1</f>
        <v>18</v>
      </c>
      <c r="B92" s="76" t="s">
        <v>436</v>
      </c>
      <c r="C92" s="77" t="s">
        <v>438</v>
      </c>
      <c r="D92" s="15" t="s">
        <v>439</v>
      </c>
      <c r="E92" s="156" t="s">
        <v>214</v>
      </c>
      <c r="F92" s="157">
        <f>SUM(F93:F97)</f>
        <v>51.72</v>
      </c>
      <c r="G92" s="60"/>
      <c r="H92" s="60"/>
      <c r="I92" s="131"/>
      <c r="J92" s="131"/>
      <c r="L92" s="84"/>
    </row>
    <row r="93" spans="1:12" s="78" customFormat="1" ht="51">
      <c r="A93" s="75"/>
      <c r="B93" s="76"/>
      <c r="C93" s="77"/>
      <c r="D93" s="15" t="s">
        <v>440</v>
      </c>
      <c r="E93" s="156"/>
      <c r="F93" s="157">
        <f>31*0.12</f>
        <v>3.7199999999999998</v>
      </c>
      <c r="G93" s="60"/>
      <c r="H93" s="60"/>
      <c r="I93" s="131"/>
      <c r="J93" s="131"/>
      <c r="L93" s="84"/>
    </row>
    <row r="94" spans="1:10" ht="30" customHeight="1">
      <c r="A94" s="14" t="s">
        <v>21</v>
      </c>
      <c r="B94" s="14" t="s">
        <v>4</v>
      </c>
      <c r="C94" s="22"/>
      <c r="D94" s="23" t="s">
        <v>5</v>
      </c>
      <c r="E94" s="14" t="s">
        <v>21</v>
      </c>
      <c r="F94" s="27" t="s">
        <v>21</v>
      </c>
      <c r="G94" s="16" t="s">
        <v>21</v>
      </c>
      <c r="H94" s="16" t="s">
        <v>21</v>
      </c>
      <c r="I94" s="134"/>
      <c r="J94" s="134"/>
    </row>
    <row r="95" spans="1:10" ht="30" customHeight="1">
      <c r="A95" s="10">
        <f>A92+1</f>
        <v>19</v>
      </c>
      <c r="B95" s="10" t="s">
        <v>4</v>
      </c>
      <c r="C95" s="24">
        <v>11</v>
      </c>
      <c r="D95" s="15" t="s">
        <v>204</v>
      </c>
      <c r="E95" s="25" t="s">
        <v>10</v>
      </c>
      <c r="F95" s="16">
        <f>F97</f>
        <v>24</v>
      </c>
      <c r="G95" s="16">
        <v>320</v>
      </c>
      <c r="H95" s="16">
        <f>IF(ROUND(F95*G95,2)=0," ",ROUND(F95*G95,2))</f>
        <v>7680</v>
      </c>
      <c r="I95" s="134"/>
      <c r="J95" s="134"/>
    </row>
    <row r="96" spans="1:14" ht="30" customHeight="1">
      <c r="A96" s="10"/>
      <c r="B96" s="10"/>
      <c r="C96" s="24"/>
      <c r="D96" s="15" t="s">
        <v>273</v>
      </c>
      <c r="E96" s="10"/>
      <c r="F96" s="16"/>
      <c r="G96" s="16"/>
      <c r="H96" s="16"/>
      <c r="I96" s="134"/>
      <c r="J96" s="134"/>
      <c r="L96" s="84" t="s">
        <v>132</v>
      </c>
      <c r="M96" s="17">
        <v>12</v>
      </c>
      <c r="N96" s="17">
        <v>12</v>
      </c>
    </row>
    <row r="97" spans="1:10" ht="30" customHeight="1">
      <c r="A97" s="10"/>
      <c r="B97" s="10"/>
      <c r="C97" s="24"/>
      <c r="D97" s="15" t="str">
        <f>""&amp;M96&amp;"+"&amp;N96&amp;""</f>
        <v>12+12</v>
      </c>
      <c r="E97" s="25" t="s">
        <v>10</v>
      </c>
      <c r="F97" s="16">
        <f>M96+N96+O96+P96</f>
        <v>24</v>
      </c>
      <c r="G97" s="16"/>
      <c r="H97" s="16"/>
      <c r="I97" s="134"/>
      <c r="J97" s="134"/>
    </row>
    <row r="98" spans="1:10" ht="30" customHeight="1">
      <c r="A98" s="14" t="s">
        <v>21</v>
      </c>
      <c r="B98" s="14" t="s">
        <v>391</v>
      </c>
      <c r="C98" s="22"/>
      <c r="D98" s="23" t="s">
        <v>392</v>
      </c>
      <c r="E98" s="14" t="s">
        <v>21</v>
      </c>
      <c r="F98" s="27" t="s">
        <v>21</v>
      </c>
      <c r="G98" s="16"/>
      <c r="H98" s="16"/>
      <c r="I98" s="134"/>
      <c r="J98" s="134"/>
    </row>
    <row r="99" spans="1:10" ht="30" customHeight="1">
      <c r="A99" s="10">
        <f>A95+1</f>
        <v>20</v>
      </c>
      <c r="B99" s="10" t="s">
        <v>391</v>
      </c>
      <c r="C99" s="24" t="s">
        <v>69</v>
      </c>
      <c r="D99" s="15" t="s">
        <v>393</v>
      </c>
      <c r="E99" s="25" t="s">
        <v>10</v>
      </c>
      <c r="F99" s="16">
        <f>F100</f>
        <v>10</v>
      </c>
      <c r="G99" s="16"/>
      <c r="H99" s="16"/>
      <c r="I99" s="134"/>
      <c r="J99" s="134"/>
    </row>
    <row r="100" spans="1:10" ht="30" customHeight="1">
      <c r="A100" s="10"/>
      <c r="B100" s="10"/>
      <c r="C100" s="24"/>
      <c r="D100" s="15" t="s">
        <v>394</v>
      </c>
      <c r="E100" s="25" t="s">
        <v>10</v>
      </c>
      <c r="F100" s="16">
        <v>10</v>
      </c>
      <c r="G100" s="16"/>
      <c r="H100" s="16"/>
      <c r="I100" s="134"/>
      <c r="J100" s="134"/>
    </row>
    <row r="101" spans="1:10" ht="30" customHeight="1">
      <c r="A101" s="10"/>
      <c r="B101" s="14"/>
      <c r="C101" s="22"/>
      <c r="D101" s="192" t="str">
        <f>"OGÓŁEM: "&amp;D90&amp;""</f>
        <v>OGÓŁEM: OZNAKOWANIE I URZĄDZENIA BEZPIECZEŃSTWA RUCHU</v>
      </c>
      <c r="E101" s="192"/>
      <c r="F101" s="192"/>
      <c r="G101" s="192"/>
      <c r="H101" s="16"/>
      <c r="I101" s="134"/>
      <c r="J101" s="134"/>
    </row>
    <row r="102" spans="1:12" s="78" customFormat="1" ht="30" customHeight="1">
      <c r="A102" s="60" t="s">
        <v>452</v>
      </c>
      <c r="B102" s="60" t="s">
        <v>51</v>
      </c>
      <c r="C102" s="67"/>
      <c r="D102" s="60" t="s">
        <v>52</v>
      </c>
      <c r="E102" s="60" t="s">
        <v>21</v>
      </c>
      <c r="F102" s="54" t="s">
        <v>21</v>
      </c>
      <c r="G102" s="60" t="s">
        <v>21</v>
      </c>
      <c r="H102" s="60" t="s">
        <v>21</v>
      </c>
      <c r="I102" s="131"/>
      <c r="J102" s="131"/>
      <c r="L102" s="84"/>
    </row>
    <row r="103" spans="1:10" ht="30" customHeight="1">
      <c r="A103" s="14" t="s">
        <v>21</v>
      </c>
      <c r="B103" s="14" t="s">
        <v>92</v>
      </c>
      <c r="C103" s="22"/>
      <c r="D103" s="23" t="s">
        <v>91</v>
      </c>
      <c r="E103" s="14" t="s">
        <v>21</v>
      </c>
      <c r="F103" s="27" t="s">
        <v>21</v>
      </c>
      <c r="G103" s="16" t="s">
        <v>21</v>
      </c>
      <c r="H103" s="16" t="s">
        <v>21</v>
      </c>
      <c r="I103" s="134"/>
      <c r="J103" s="134"/>
    </row>
    <row r="104" spans="1:13" ht="30" customHeight="1">
      <c r="A104" s="10">
        <f>A99+1</f>
        <v>21</v>
      </c>
      <c r="B104" s="10" t="s">
        <v>53</v>
      </c>
      <c r="C104" s="24" t="s">
        <v>69</v>
      </c>
      <c r="D104" s="15" t="s">
        <v>93</v>
      </c>
      <c r="E104" s="25" t="s">
        <v>10</v>
      </c>
      <c r="F104" s="16">
        <f>F106</f>
        <v>12</v>
      </c>
      <c r="G104" s="16">
        <v>130</v>
      </c>
      <c r="H104" s="16">
        <f>IF(ROUND(F104*G104,2)=0," ",ROUND(F104*G104,2))</f>
        <v>1560</v>
      </c>
      <c r="I104" s="134"/>
      <c r="J104" s="134"/>
      <c r="L104" s="84" t="s">
        <v>134</v>
      </c>
      <c r="M104" s="17">
        <v>3</v>
      </c>
    </row>
    <row r="105" spans="1:13" ht="30" customHeight="1">
      <c r="A105" s="10"/>
      <c r="B105" s="10"/>
      <c r="C105" s="24"/>
      <c r="D105" s="15" t="s">
        <v>274</v>
      </c>
      <c r="E105" s="25"/>
      <c r="F105" s="16"/>
      <c r="G105" s="16"/>
      <c r="H105" s="16"/>
      <c r="I105" s="134"/>
      <c r="J105" s="134"/>
      <c r="L105" s="84" t="s">
        <v>151</v>
      </c>
      <c r="M105" s="17">
        <v>4</v>
      </c>
    </row>
    <row r="106" spans="1:10" ht="30" customHeight="1">
      <c r="A106" s="10"/>
      <c r="B106" s="10"/>
      <c r="C106" s="24"/>
      <c r="D106" s="15" t="str">
        <f>""&amp;M104&amp;"x"&amp;M105&amp;""</f>
        <v>3x4</v>
      </c>
      <c r="E106" s="25" t="s">
        <v>10</v>
      </c>
      <c r="F106" s="16">
        <f>M105*M104</f>
        <v>12</v>
      </c>
      <c r="G106" s="16"/>
      <c r="H106" s="16"/>
      <c r="I106" s="134"/>
      <c r="J106" s="134"/>
    </row>
    <row r="107" spans="1:10" ht="30" customHeight="1">
      <c r="A107" s="152" t="s">
        <v>21</v>
      </c>
      <c r="B107" s="121" t="s">
        <v>395</v>
      </c>
      <c r="C107" s="153"/>
      <c r="D107" s="154" t="s">
        <v>396</v>
      </c>
      <c r="E107" s="121" t="s">
        <v>21</v>
      </c>
      <c r="F107" s="121" t="s">
        <v>21</v>
      </c>
      <c r="G107" s="16"/>
      <c r="H107" s="151"/>
      <c r="I107" s="134"/>
      <c r="J107" s="134"/>
    </row>
    <row r="108" spans="1:10" ht="30" customHeight="1">
      <c r="A108" s="75">
        <f>A104+1</f>
        <v>22</v>
      </c>
      <c r="B108" s="76" t="s">
        <v>395</v>
      </c>
      <c r="C108" s="77">
        <v>12</v>
      </c>
      <c r="D108" s="155" t="s">
        <v>397</v>
      </c>
      <c r="E108" s="156" t="s">
        <v>10</v>
      </c>
      <c r="F108" s="157">
        <f>F109</f>
        <v>17</v>
      </c>
      <c r="G108" s="16"/>
      <c r="H108" s="151"/>
      <c r="I108" s="134"/>
      <c r="J108" s="134"/>
    </row>
    <row r="109" spans="1:10" ht="25.5">
      <c r="A109" s="75"/>
      <c r="B109" s="76"/>
      <c r="C109" s="77"/>
      <c r="D109" s="155" t="s">
        <v>398</v>
      </c>
      <c r="E109" s="156"/>
      <c r="F109" s="157">
        <v>17</v>
      </c>
      <c r="G109" s="16"/>
      <c r="H109" s="151"/>
      <c r="I109" s="134"/>
      <c r="J109" s="134"/>
    </row>
    <row r="110" spans="1:10" ht="30" customHeight="1">
      <c r="A110" s="10"/>
      <c r="B110" s="14"/>
      <c r="C110" s="22"/>
      <c r="D110" s="192" t="str">
        <f>"OGÓŁEM: "&amp;D102&amp;""</f>
        <v>OGÓŁEM: ELEMENTY ULIC</v>
      </c>
      <c r="E110" s="192"/>
      <c r="F110" s="192"/>
      <c r="G110" s="192"/>
      <c r="H110" s="127"/>
      <c r="I110" s="135"/>
      <c r="J110" s="135"/>
    </row>
    <row r="111" spans="1:10" ht="30" customHeight="1">
      <c r="A111" s="195" t="str">
        <f>"OGÓŁEM: "&amp;B7&amp;""</f>
        <v>OGÓŁEM: ROBOTY DROGOWE</v>
      </c>
      <c r="B111" s="195"/>
      <c r="C111" s="195"/>
      <c r="D111" s="195"/>
      <c r="E111" s="195"/>
      <c r="F111" s="195"/>
      <c r="G111" s="195"/>
      <c r="H111" s="54" t="str">
        <f>IF(SUM(H110,H101,H94,H77,H69,H61,H56)=0," ",SUM(H110,H101,H94,H77,H69,H61,H56))</f>
        <v> </v>
      </c>
      <c r="I111" s="135"/>
      <c r="J111" s="135"/>
    </row>
    <row r="112" spans="1:10" ht="30" customHeight="1">
      <c r="A112" s="101" t="s">
        <v>240</v>
      </c>
      <c r="B112" s="193" t="s">
        <v>41</v>
      </c>
      <c r="C112" s="193"/>
      <c r="D112" s="193"/>
      <c r="E112" s="193"/>
      <c r="F112" s="193"/>
      <c r="G112" s="193"/>
      <c r="H112" s="194"/>
      <c r="I112" s="130"/>
      <c r="J112" s="130"/>
    </row>
    <row r="113" spans="1:12" ht="30" customHeight="1">
      <c r="A113" s="60" t="s">
        <v>21</v>
      </c>
      <c r="B113" s="60" t="s">
        <v>215</v>
      </c>
      <c r="C113" s="67"/>
      <c r="D113" s="60" t="s">
        <v>216</v>
      </c>
      <c r="E113" s="60" t="s">
        <v>21</v>
      </c>
      <c r="F113" s="60" t="s">
        <v>21</v>
      </c>
      <c r="G113" s="60" t="s">
        <v>21</v>
      </c>
      <c r="H113" s="60" t="s">
        <v>21</v>
      </c>
      <c r="I113" s="131"/>
      <c r="J113" s="131"/>
      <c r="L113" s="17"/>
    </row>
    <row r="114" spans="1:12" ht="30" customHeight="1">
      <c r="A114" s="60" t="s">
        <v>239</v>
      </c>
      <c r="B114" s="60" t="s">
        <v>217</v>
      </c>
      <c r="C114" s="60"/>
      <c r="D114" s="60" t="s">
        <v>218</v>
      </c>
      <c r="E114" s="60" t="s">
        <v>21</v>
      </c>
      <c r="F114" s="54" t="s">
        <v>21</v>
      </c>
      <c r="G114" s="16"/>
      <c r="H114" s="16"/>
      <c r="I114" s="134"/>
      <c r="J114" s="134"/>
      <c r="L114" s="17"/>
    </row>
    <row r="115" spans="1:12" ht="30" customHeight="1">
      <c r="A115" s="51" t="s">
        <v>21</v>
      </c>
      <c r="B115" s="51" t="s">
        <v>219</v>
      </c>
      <c r="C115" s="79"/>
      <c r="D115" s="52" t="s">
        <v>220</v>
      </c>
      <c r="E115" s="51" t="s">
        <v>21</v>
      </c>
      <c r="F115" s="51" t="s">
        <v>21</v>
      </c>
      <c r="G115" s="16"/>
      <c r="H115" s="16"/>
      <c r="I115" s="134"/>
      <c r="J115" s="134"/>
      <c r="L115" s="17"/>
    </row>
    <row r="116" spans="1:12" ht="30" customHeight="1">
      <c r="A116" s="10">
        <f>A108+1</f>
        <v>23</v>
      </c>
      <c r="B116" s="97" t="s">
        <v>219</v>
      </c>
      <c r="C116" s="24" t="s">
        <v>160</v>
      </c>
      <c r="D116" s="15" t="s">
        <v>224</v>
      </c>
      <c r="E116" s="25" t="s">
        <v>112</v>
      </c>
      <c r="F116" s="11">
        <f>F118+F120</f>
        <v>30.1</v>
      </c>
      <c r="G116" s="16"/>
      <c r="H116" s="16"/>
      <c r="I116" s="134"/>
      <c r="J116" s="134"/>
      <c r="L116" s="17"/>
    </row>
    <row r="117" spans="1:12" ht="78" customHeight="1">
      <c r="A117" s="14"/>
      <c r="B117" s="14"/>
      <c r="C117" s="22"/>
      <c r="D117" s="15" t="s">
        <v>413</v>
      </c>
      <c r="E117" s="98"/>
      <c r="F117" s="11"/>
      <c r="G117" s="16"/>
      <c r="H117" s="16"/>
      <c r="I117" s="134"/>
      <c r="J117" s="134"/>
      <c r="L117" s="17"/>
    </row>
    <row r="118" spans="1:17" ht="30" customHeight="1">
      <c r="A118" s="14"/>
      <c r="B118" s="14"/>
      <c r="C118" s="22"/>
      <c r="D118" s="15" t="s">
        <v>403</v>
      </c>
      <c r="E118" s="25" t="s">
        <v>112</v>
      </c>
      <c r="F118" s="11">
        <f>7+1</f>
        <v>8</v>
      </c>
      <c r="G118" s="16"/>
      <c r="H118" s="16"/>
      <c r="I118" s="134"/>
      <c r="J118" s="134"/>
      <c r="L118" s="17" t="s">
        <v>221</v>
      </c>
      <c r="M118" s="17">
        <v>7</v>
      </c>
      <c r="P118" s="84" t="s">
        <v>258</v>
      </c>
      <c r="Q118" s="17">
        <v>1</v>
      </c>
    </row>
    <row r="119" spans="1:10" ht="69.75" customHeight="1">
      <c r="A119" s="14"/>
      <c r="B119" s="14"/>
      <c r="C119" s="22"/>
      <c r="D119" s="15" t="s">
        <v>402</v>
      </c>
      <c r="E119" s="98"/>
      <c r="F119" s="11"/>
      <c r="G119" s="16"/>
      <c r="H119" s="16"/>
      <c r="I119" s="134"/>
      <c r="J119" s="134"/>
    </row>
    <row r="120" spans="1:13" ht="30" customHeight="1">
      <c r="A120" s="14"/>
      <c r="B120" s="14"/>
      <c r="C120" s="22"/>
      <c r="D120" s="15" t="s">
        <v>404</v>
      </c>
      <c r="E120" s="25" t="s">
        <v>112</v>
      </c>
      <c r="F120" s="11">
        <f>21.1+1</f>
        <v>22.1</v>
      </c>
      <c r="G120" s="16"/>
      <c r="H120" s="16"/>
      <c r="I120" s="134"/>
      <c r="J120" s="134"/>
      <c r="L120" s="17" t="s">
        <v>221</v>
      </c>
      <c r="M120" s="17">
        <v>21.1</v>
      </c>
    </row>
    <row r="121" spans="1:12" ht="30" customHeight="1">
      <c r="A121" s="10">
        <f>A116+1</f>
        <v>24</v>
      </c>
      <c r="B121" s="97" t="s">
        <v>219</v>
      </c>
      <c r="C121" s="24" t="s">
        <v>103</v>
      </c>
      <c r="D121" s="15" t="s">
        <v>400</v>
      </c>
      <c r="E121" s="25" t="s">
        <v>10</v>
      </c>
      <c r="F121" s="11">
        <f>F123</f>
        <v>51.84</v>
      </c>
      <c r="G121" s="16"/>
      <c r="H121" s="16"/>
      <c r="I121" s="134"/>
      <c r="J121" s="134"/>
      <c r="L121" s="17"/>
    </row>
    <row r="122" spans="1:14" ht="38.25">
      <c r="A122" s="10"/>
      <c r="B122" s="97"/>
      <c r="C122" s="24"/>
      <c r="D122" s="15" t="s">
        <v>399</v>
      </c>
      <c r="E122" s="25"/>
      <c r="F122" s="99"/>
      <c r="G122" s="16"/>
      <c r="H122" s="16"/>
      <c r="I122" s="134"/>
      <c r="J122" s="134"/>
      <c r="L122" s="17" t="s">
        <v>222</v>
      </c>
      <c r="M122" s="17">
        <v>126</v>
      </c>
      <c r="N122" s="17">
        <v>36</v>
      </c>
    </row>
    <row r="123" spans="1:14" ht="30" customHeight="1">
      <c r="A123" s="14"/>
      <c r="B123" s="14"/>
      <c r="C123" s="22"/>
      <c r="D123" s="15" t="str">
        <f>"("&amp;M122&amp;"+"&amp;N122&amp;")x"&amp;M123&amp;""</f>
        <v>(126+36)x0,32</v>
      </c>
      <c r="E123" s="25" t="s">
        <v>10</v>
      </c>
      <c r="F123" s="11">
        <f>(M122+N122)*M123</f>
        <v>51.84</v>
      </c>
      <c r="G123" s="16"/>
      <c r="H123" s="16"/>
      <c r="I123" s="134"/>
      <c r="J123" s="134"/>
      <c r="L123" s="17" t="s">
        <v>223</v>
      </c>
      <c r="M123" s="17">
        <v>0.32</v>
      </c>
      <c r="N123" s="17">
        <v>0.32</v>
      </c>
    </row>
    <row r="124" spans="1:12" ht="30" customHeight="1">
      <c r="A124" s="10">
        <f>A121+1</f>
        <v>25</v>
      </c>
      <c r="B124" s="97" t="s">
        <v>219</v>
      </c>
      <c r="C124" s="24" t="s">
        <v>135</v>
      </c>
      <c r="D124" s="15" t="s">
        <v>225</v>
      </c>
      <c r="E124" s="25" t="s">
        <v>12</v>
      </c>
      <c r="F124" s="11">
        <f>F126</f>
        <v>2297</v>
      </c>
      <c r="G124" s="16"/>
      <c r="H124" s="16"/>
      <c r="I124" s="134"/>
      <c r="J124" s="134"/>
      <c r="L124" s="17"/>
    </row>
    <row r="125" spans="1:13" ht="30" customHeight="1">
      <c r="A125" s="10"/>
      <c r="B125" s="97"/>
      <c r="C125" s="24"/>
      <c r="D125" s="15" t="s">
        <v>401</v>
      </c>
      <c r="E125" s="25"/>
      <c r="F125" s="99"/>
      <c r="G125" s="16"/>
      <c r="H125" s="16"/>
      <c r="I125" s="134"/>
      <c r="J125" s="134"/>
      <c r="L125" s="17" t="s">
        <v>158</v>
      </c>
      <c r="M125" s="17">
        <v>1.025</v>
      </c>
    </row>
    <row r="126" spans="1:15" ht="30" customHeight="1">
      <c r="A126" s="14"/>
      <c r="B126" s="14"/>
      <c r="C126" s="22"/>
      <c r="D126" s="15" t="s">
        <v>405</v>
      </c>
      <c r="E126" s="25" t="s">
        <v>12</v>
      </c>
      <c r="F126" s="11">
        <f>529+1768</f>
        <v>2297</v>
      </c>
      <c r="G126" s="16"/>
      <c r="H126" s="16"/>
      <c r="I126" s="134"/>
      <c r="J126" s="134"/>
      <c r="L126" s="17" t="s">
        <v>150</v>
      </c>
      <c r="M126" s="17">
        <v>450</v>
      </c>
      <c r="N126" s="17">
        <v>500</v>
      </c>
      <c r="O126" s="17">
        <v>2500</v>
      </c>
    </row>
    <row r="127" spans="1:12" ht="30" customHeight="1">
      <c r="A127" s="10"/>
      <c r="B127" s="14"/>
      <c r="C127" s="22"/>
      <c r="D127" s="192" t="str">
        <f>"OGÓŁEM: "&amp;D113&amp;""</f>
        <v>OGÓŁEM: FUNDAMENTY</v>
      </c>
      <c r="E127" s="192"/>
      <c r="F127" s="192"/>
      <c r="G127" s="192"/>
      <c r="H127" s="16"/>
      <c r="I127" s="134"/>
      <c r="J127" s="134"/>
      <c r="L127" s="17"/>
    </row>
    <row r="128" spans="1:12" s="78" customFormat="1" ht="30" customHeight="1">
      <c r="A128" s="60" t="s">
        <v>21</v>
      </c>
      <c r="B128" s="60" t="s">
        <v>156</v>
      </c>
      <c r="C128" s="67"/>
      <c r="D128" s="60" t="s">
        <v>166</v>
      </c>
      <c r="E128" s="60" t="s">
        <v>21</v>
      </c>
      <c r="F128" s="54" t="s">
        <v>21</v>
      </c>
      <c r="G128" s="60"/>
      <c r="H128" s="60"/>
      <c r="I128" s="131"/>
      <c r="J128" s="131"/>
      <c r="L128" s="84"/>
    </row>
    <row r="129" spans="1:12" s="78" customFormat="1" ht="30" customHeight="1">
      <c r="A129" s="60" t="s">
        <v>241</v>
      </c>
      <c r="B129" s="60" t="s">
        <v>161</v>
      </c>
      <c r="C129" s="67"/>
      <c r="D129" s="60" t="s">
        <v>162</v>
      </c>
      <c r="E129" s="60" t="s">
        <v>21</v>
      </c>
      <c r="F129" s="54" t="s">
        <v>21</v>
      </c>
      <c r="G129" s="60"/>
      <c r="H129" s="60"/>
      <c r="I129" s="131"/>
      <c r="J129" s="131"/>
      <c r="L129" s="84"/>
    </row>
    <row r="130" spans="1:10" ht="30" customHeight="1">
      <c r="A130" s="14" t="s">
        <v>21</v>
      </c>
      <c r="B130" s="14" t="s">
        <v>101</v>
      </c>
      <c r="C130" s="22"/>
      <c r="D130" s="23" t="s">
        <v>163</v>
      </c>
      <c r="E130" s="14" t="s">
        <v>21</v>
      </c>
      <c r="F130" s="27" t="s">
        <v>21</v>
      </c>
      <c r="G130" s="16"/>
      <c r="H130" s="16"/>
      <c r="I130" s="134"/>
      <c r="J130" s="134"/>
    </row>
    <row r="131" spans="1:13" ht="30" customHeight="1">
      <c r="A131" s="10">
        <f>A124+1</f>
        <v>26</v>
      </c>
      <c r="B131" s="10" t="s">
        <v>101</v>
      </c>
      <c r="C131" s="24" t="s">
        <v>102</v>
      </c>
      <c r="D131" s="15" t="s">
        <v>307</v>
      </c>
      <c r="E131" s="25" t="s">
        <v>112</v>
      </c>
      <c r="F131" s="16">
        <f>F133+F135+F137+F139</f>
        <v>14.700000000000003</v>
      </c>
      <c r="G131" s="16"/>
      <c r="H131" s="16"/>
      <c r="I131" s="134"/>
      <c r="J131" s="134"/>
      <c r="L131" s="84" t="s">
        <v>164</v>
      </c>
      <c r="M131" s="17">
        <v>2</v>
      </c>
    </row>
    <row r="132" spans="1:18" ht="57" customHeight="1">
      <c r="A132" s="10"/>
      <c r="B132" s="10"/>
      <c r="C132" s="24"/>
      <c r="D132" s="15" t="s">
        <v>406</v>
      </c>
      <c r="E132" s="25"/>
      <c r="F132" s="16"/>
      <c r="G132" s="16"/>
      <c r="H132" s="16"/>
      <c r="I132" s="134"/>
      <c r="J132" s="134"/>
      <c r="L132" s="84" t="s">
        <v>159</v>
      </c>
      <c r="M132" s="17">
        <v>1.3</v>
      </c>
      <c r="N132" s="17">
        <v>1.3</v>
      </c>
      <c r="O132" s="17">
        <v>1.3</v>
      </c>
      <c r="P132" s="17">
        <v>3.5</v>
      </c>
      <c r="Q132" s="17">
        <v>1.3</v>
      </c>
      <c r="R132" s="17">
        <v>1.3</v>
      </c>
    </row>
    <row r="133" spans="1:13" ht="30" customHeight="1">
      <c r="A133" s="10"/>
      <c r="B133" s="10"/>
      <c r="C133" s="24"/>
      <c r="D133" s="15" t="s">
        <v>407</v>
      </c>
      <c r="E133" s="25" t="s">
        <v>112</v>
      </c>
      <c r="F133" s="16">
        <f>M132+N132+O132+P132+Q132+R132</f>
        <v>10.000000000000002</v>
      </c>
      <c r="G133" s="16"/>
      <c r="H133" s="16"/>
      <c r="I133" s="134"/>
      <c r="J133" s="134"/>
      <c r="L133" s="84" t="s">
        <v>258</v>
      </c>
      <c r="M133" s="17">
        <v>1</v>
      </c>
    </row>
    <row r="134" spans="1:13" ht="38.25">
      <c r="A134" s="10"/>
      <c r="B134" s="10"/>
      <c r="C134" s="24"/>
      <c r="D134" s="15" t="s">
        <v>408</v>
      </c>
      <c r="E134" s="25"/>
      <c r="F134" s="16"/>
      <c r="G134" s="16"/>
      <c r="H134" s="16"/>
      <c r="I134" s="134"/>
      <c r="J134" s="134"/>
      <c r="L134" s="84" t="s">
        <v>159</v>
      </c>
      <c r="M134" s="17">
        <v>3</v>
      </c>
    </row>
    <row r="135" spans="1:10" ht="33" customHeight="1">
      <c r="A135" s="10"/>
      <c r="B135" s="10"/>
      <c r="C135" s="24"/>
      <c r="D135" s="15" t="s">
        <v>409</v>
      </c>
      <c r="E135" s="25" t="s">
        <v>112</v>
      </c>
      <c r="F135" s="16">
        <f>3*1</f>
        <v>3</v>
      </c>
      <c r="G135" s="16"/>
      <c r="H135" s="16"/>
      <c r="I135" s="134"/>
      <c r="J135" s="134"/>
    </row>
    <row r="136" spans="1:13" ht="41.25" customHeight="1">
      <c r="A136" s="10"/>
      <c r="B136" s="10"/>
      <c r="C136" s="24"/>
      <c r="D136" s="15" t="s">
        <v>410</v>
      </c>
      <c r="E136" s="25"/>
      <c r="F136" s="16"/>
      <c r="G136" s="16"/>
      <c r="H136" s="16"/>
      <c r="I136" s="134"/>
      <c r="J136" s="134"/>
      <c r="L136" s="84" t="s">
        <v>159</v>
      </c>
      <c r="M136" s="17">
        <v>1.2</v>
      </c>
    </row>
    <row r="137" spans="1:10" ht="30" customHeight="1">
      <c r="A137" s="10"/>
      <c r="B137" s="10"/>
      <c r="C137" s="24"/>
      <c r="D137" s="15" t="s">
        <v>411</v>
      </c>
      <c r="E137" s="25" t="s">
        <v>112</v>
      </c>
      <c r="F137" s="16">
        <v>0.9</v>
      </c>
      <c r="G137" s="16"/>
      <c r="H137" s="16"/>
      <c r="I137" s="134"/>
      <c r="J137" s="134"/>
    </row>
    <row r="138" spans="1:10" ht="30" customHeight="1">
      <c r="A138" s="10"/>
      <c r="B138" s="10"/>
      <c r="C138" s="24"/>
      <c r="D138" s="15" t="s">
        <v>442</v>
      </c>
      <c r="E138" s="25"/>
      <c r="F138" s="16"/>
      <c r="G138" s="16"/>
      <c r="H138" s="16"/>
      <c r="I138" s="134"/>
      <c r="J138" s="134"/>
    </row>
    <row r="139" spans="1:10" ht="30" customHeight="1">
      <c r="A139" s="10"/>
      <c r="B139" s="10"/>
      <c r="C139" s="24"/>
      <c r="D139" s="15" t="s">
        <v>441</v>
      </c>
      <c r="E139" s="25" t="s">
        <v>112</v>
      </c>
      <c r="F139" s="16">
        <v>0.8</v>
      </c>
      <c r="G139" s="16"/>
      <c r="H139" s="16"/>
      <c r="I139" s="134"/>
      <c r="J139" s="134"/>
    </row>
    <row r="140" spans="1:14" ht="38.25">
      <c r="A140" s="10">
        <f>A131+1</f>
        <v>27</v>
      </c>
      <c r="B140" s="10" t="s">
        <v>101</v>
      </c>
      <c r="C140" s="24" t="s">
        <v>227</v>
      </c>
      <c r="D140" s="15" t="s">
        <v>228</v>
      </c>
      <c r="E140" s="25" t="s">
        <v>10</v>
      </c>
      <c r="F140" s="16">
        <f>SUM(F142)</f>
        <v>138.72</v>
      </c>
      <c r="G140" s="16"/>
      <c r="H140" s="16"/>
      <c r="I140" s="134"/>
      <c r="J140" s="134"/>
      <c r="L140" s="84" t="s">
        <v>165</v>
      </c>
      <c r="M140" s="17">
        <v>600</v>
      </c>
      <c r="N140" s="17">
        <v>21</v>
      </c>
    </row>
    <row r="141" spans="1:14" ht="63.75">
      <c r="A141" s="10"/>
      <c r="B141" s="10"/>
      <c r="C141" s="24"/>
      <c r="D141" s="15" t="s">
        <v>443</v>
      </c>
      <c r="E141" s="25"/>
      <c r="F141" s="16"/>
      <c r="G141" s="16"/>
      <c r="H141" s="16"/>
      <c r="I141" s="134"/>
      <c r="J141" s="134"/>
      <c r="L141" s="84" t="s">
        <v>155</v>
      </c>
      <c r="M141" s="17">
        <v>0.22</v>
      </c>
      <c r="N141" s="17">
        <v>0.32</v>
      </c>
    </row>
    <row r="142" spans="1:10" ht="30" customHeight="1">
      <c r="A142" s="10"/>
      <c r="B142" s="10"/>
      <c r="C142" s="24"/>
      <c r="D142" s="15" t="str">
        <f>""&amp;M140&amp;"x"&amp;M141&amp;"+"&amp;N140&amp;"x"&amp;N141&amp;""</f>
        <v>600x0,22+21x0,32</v>
      </c>
      <c r="E142" s="25" t="s">
        <v>10</v>
      </c>
      <c r="F142" s="16">
        <f>M140*M141+N140*N141</f>
        <v>138.72</v>
      </c>
      <c r="G142" s="16"/>
      <c r="H142" s="16"/>
      <c r="I142" s="134"/>
      <c r="J142" s="134"/>
    </row>
    <row r="143" spans="1:13" ht="38.25">
      <c r="A143" s="10">
        <f>A140+1</f>
        <v>28</v>
      </c>
      <c r="B143" s="10" t="s">
        <v>101</v>
      </c>
      <c r="C143" s="24" t="s">
        <v>226</v>
      </c>
      <c r="D143" s="15" t="s">
        <v>412</v>
      </c>
      <c r="E143" s="25" t="s">
        <v>10</v>
      </c>
      <c r="F143" s="16">
        <f>SUM(F145,F146)</f>
        <v>88.88</v>
      </c>
      <c r="G143" s="16"/>
      <c r="H143" s="16"/>
      <c r="I143" s="134"/>
      <c r="J143" s="134"/>
      <c r="L143" s="84" t="s">
        <v>414</v>
      </c>
      <c r="M143" s="17">
        <v>3</v>
      </c>
    </row>
    <row r="144" spans="1:14" ht="51">
      <c r="A144" s="10"/>
      <c r="B144" s="10"/>
      <c r="C144" s="24"/>
      <c r="D144" s="15" t="s">
        <v>415</v>
      </c>
      <c r="E144" s="25"/>
      <c r="F144" s="16"/>
      <c r="G144" s="16"/>
      <c r="H144" s="16"/>
      <c r="I144" s="134"/>
      <c r="J144" s="134"/>
      <c r="L144" s="84" t="s">
        <v>165</v>
      </c>
      <c r="M144" s="17">
        <f>68</f>
        <v>68</v>
      </c>
      <c r="N144" s="17">
        <v>200</v>
      </c>
    </row>
    <row r="145" spans="1:14" ht="30" customHeight="1">
      <c r="A145" s="10"/>
      <c r="B145" s="10"/>
      <c r="C145" s="24"/>
      <c r="D145" s="15" t="str">
        <f>""&amp;M144&amp;"x"&amp;M145&amp;"x"&amp;M143&amp;" - dla słupów filara"</f>
        <v>68x0,22x3 - dla słupów filara</v>
      </c>
      <c r="E145" s="25" t="s">
        <v>10</v>
      </c>
      <c r="F145" s="16">
        <f>M145*M144*M143</f>
        <v>44.88</v>
      </c>
      <c r="G145" s="16"/>
      <c r="H145" s="16"/>
      <c r="I145" s="134"/>
      <c r="J145" s="134"/>
      <c r="L145" s="84" t="s">
        <v>155</v>
      </c>
      <c r="M145" s="17">
        <v>0.22</v>
      </c>
      <c r="N145" s="17">
        <v>0.22</v>
      </c>
    </row>
    <row r="146" spans="1:10" ht="30" customHeight="1">
      <c r="A146" s="10"/>
      <c r="B146" s="10"/>
      <c r="C146" s="24"/>
      <c r="D146" s="15" t="str">
        <f>""&amp;N144&amp;"x"&amp;N145&amp;" - dla oczepu filara"</f>
        <v>200x0,22 - dla oczepu filara</v>
      </c>
      <c r="E146" s="25" t="s">
        <v>10</v>
      </c>
      <c r="F146" s="16">
        <f>N145*N144</f>
        <v>44</v>
      </c>
      <c r="G146" s="16"/>
      <c r="H146" s="16"/>
      <c r="I146" s="134"/>
      <c r="J146" s="134"/>
    </row>
    <row r="147" spans="1:15" ht="30" customHeight="1">
      <c r="A147" s="10">
        <f>A143+1</f>
        <v>29</v>
      </c>
      <c r="B147" s="10" t="s">
        <v>101</v>
      </c>
      <c r="C147" s="24" t="s">
        <v>135</v>
      </c>
      <c r="D147" s="15" t="s">
        <v>229</v>
      </c>
      <c r="E147" s="25" t="s">
        <v>12</v>
      </c>
      <c r="F147" s="16">
        <f>SUM(F148:F149)</f>
        <v>2623</v>
      </c>
      <c r="G147" s="16"/>
      <c r="H147" s="16"/>
      <c r="I147" s="134"/>
      <c r="J147" s="134"/>
      <c r="L147" s="84" t="s">
        <v>416</v>
      </c>
      <c r="M147" s="17">
        <v>141</v>
      </c>
      <c r="N147" s="17">
        <v>3</v>
      </c>
      <c r="O147" s="17">
        <v>183</v>
      </c>
    </row>
    <row r="148" spans="1:14" ht="51">
      <c r="A148" s="10"/>
      <c r="B148" s="10"/>
      <c r="C148" s="24"/>
      <c r="D148" s="15" t="s">
        <v>444</v>
      </c>
      <c r="E148" s="10"/>
      <c r="F148" s="16"/>
      <c r="G148" s="16"/>
      <c r="H148" s="16"/>
      <c r="I148" s="134"/>
      <c r="J148" s="134"/>
      <c r="L148" s="84" t="s">
        <v>417</v>
      </c>
      <c r="M148" s="17">
        <v>1900</v>
      </c>
      <c r="N148" s="17">
        <v>117</v>
      </c>
    </row>
    <row r="149" spans="1:10" ht="30" customHeight="1">
      <c r="A149" s="10"/>
      <c r="B149" s="10"/>
      <c r="C149" s="24"/>
      <c r="D149" s="15" t="str">
        <f>M147&amp;"*"&amp;N147&amp;"+"&amp;O147&amp;"+"&amp;N148&amp;"+"&amp;M148&amp;""</f>
        <v>141*3+183+117+1900</v>
      </c>
      <c r="E149" s="25" t="s">
        <v>12</v>
      </c>
      <c r="F149" s="16">
        <f>M147*N147+O147+M148+N148</f>
        <v>2623</v>
      </c>
      <c r="G149" s="16"/>
      <c r="H149" s="16"/>
      <c r="I149" s="134"/>
      <c r="J149" s="134"/>
    </row>
    <row r="150" spans="1:10" ht="30" customHeight="1">
      <c r="A150" s="10"/>
      <c r="B150" s="14"/>
      <c r="C150" s="22"/>
      <c r="D150" s="192" t="str">
        <f>"OGÓŁEM: "&amp;D128&amp;""</f>
        <v>OGÓŁEM: KORPUSY PODPÓR</v>
      </c>
      <c r="E150" s="192"/>
      <c r="F150" s="192"/>
      <c r="G150" s="192"/>
      <c r="H150" s="16"/>
      <c r="I150" s="134"/>
      <c r="J150" s="134"/>
    </row>
    <row r="151" spans="1:12" s="78" customFormat="1" ht="30" customHeight="1">
      <c r="A151" s="60" t="s">
        <v>242</v>
      </c>
      <c r="B151" s="60" t="s">
        <v>77</v>
      </c>
      <c r="C151" s="67"/>
      <c r="D151" s="60" t="s">
        <v>78</v>
      </c>
      <c r="E151" s="60" t="s">
        <v>21</v>
      </c>
      <c r="F151" s="54" t="s">
        <v>21</v>
      </c>
      <c r="G151" s="60" t="s">
        <v>21</v>
      </c>
      <c r="H151" s="60" t="s">
        <v>21</v>
      </c>
      <c r="I151" s="131"/>
      <c r="J151" s="131"/>
      <c r="L151" s="84"/>
    </row>
    <row r="152" spans="1:12" s="26" customFormat="1" ht="30" customHeight="1">
      <c r="A152" s="14" t="s">
        <v>21</v>
      </c>
      <c r="B152" s="14" t="s">
        <v>292</v>
      </c>
      <c r="C152" s="121"/>
      <c r="D152" s="121" t="s">
        <v>293</v>
      </c>
      <c r="E152" s="121" t="s">
        <v>21</v>
      </c>
      <c r="F152" s="121" t="s">
        <v>21</v>
      </c>
      <c r="G152" s="14" t="s">
        <v>21</v>
      </c>
      <c r="H152" s="14" t="s">
        <v>21</v>
      </c>
      <c r="I152" s="133"/>
      <c r="J152" s="133"/>
      <c r="L152" s="84"/>
    </row>
    <row r="153" spans="1:13" s="26" customFormat="1" ht="30" customHeight="1">
      <c r="A153" s="14" t="s">
        <v>21</v>
      </c>
      <c r="B153" s="14" t="s">
        <v>289</v>
      </c>
      <c r="C153" s="121"/>
      <c r="D153" s="121" t="s">
        <v>294</v>
      </c>
      <c r="E153" s="121" t="s">
        <v>21</v>
      </c>
      <c r="F153" s="121" t="s">
        <v>21</v>
      </c>
      <c r="G153" s="14"/>
      <c r="H153" s="14"/>
      <c r="I153" s="133"/>
      <c r="J153" s="133"/>
      <c r="L153" s="84" t="s">
        <v>117</v>
      </c>
      <c r="M153" s="26">
        <v>1000</v>
      </c>
    </row>
    <row r="154" spans="1:15" s="26" customFormat="1" ht="26.25" customHeight="1">
      <c r="A154" s="10">
        <f>A147+1</f>
        <v>30</v>
      </c>
      <c r="B154" s="10" t="s">
        <v>289</v>
      </c>
      <c r="C154" s="24" t="s">
        <v>290</v>
      </c>
      <c r="D154" s="15" t="s">
        <v>326</v>
      </c>
      <c r="E154" s="25" t="s">
        <v>112</v>
      </c>
      <c r="F154" s="11">
        <f>SUM(F155)</f>
        <v>20</v>
      </c>
      <c r="G154" s="14"/>
      <c r="H154" s="14"/>
      <c r="I154" s="133"/>
      <c r="J154" s="133"/>
      <c r="L154" s="84" t="s">
        <v>186</v>
      </c>
      <c r="M154" s="26">
        <v>1.31</v>
      </c>
      <c r="N154" s="26">
        <v>5</v>
      </c>
      <c r="O154" s="26">
        <v>20.9</v>
      </c>
    </row>
    <row r="155" spans="1:15" s="26" customFormat="1" ht="16.5" customHeight="1">
      <c r="A155" s="122"/>
      <c r="B155" s="10"/>
      <c r="C155" s="10"/>
      <c r="D155" s="15" t="s">
        <v>291</v>
      </c>
      <c r="E155" s="25"/>
      <c r="F155" s="11">
        <v>20</v>
      </c>
      <c r="G155" s="14"/>
      <c r="H155" s="14"/>
      <c r="I155" s="133"/>
      <c r="J155" s="133"/>
      <c r="L155" s="84" t="s">
        <v>308</v>
      </c>
      <c r="M155" s="26">
        <v>0.949</v>
      </c>
      <c r="N155" s="26">
        <f>4*8</f>
        <v>32</v>
      </c>
      <c r="O155" s="26">
        <v>1.37</v>
      </c>
    </row>
    <row r="156" spans="1:12" s="26" customFormat="1" ht="31.5" customHeight="1">
      <c r="A156" s="10">
        <f>A154+1</f>
        <v>31</v>
      </c>
      <c r="B156" s="10" t="s">
        <v>301</v>
      </c>
      <c r="C156" s="24" t="s">
        <v>167</v>
      </c>
      <c r="D156" s="15" t="s">
        <v>302</v>
      </c>
      <c r="E156" s="25" t="s">
        <v>111</v>
      </c>
      <c r="F156" s="11">
        <f>F161</f>
        <v>178.49916000000002</v>
      </c>
      <c r="G156" s="14"/>
      <c r="H156" s="14"/>
      <c r="I156" s="133"/>
      <c r="J156" s="133"/>
      <c r="L156" s="84"/>
    </row>
    <row r="157" spans="1:12" s="26" customFormat="1" ht="93.75" customHeight="1">
      <c r="A157" s="122"/>
      <c r="B157" s="10"/>
      <c r="C157" s="125"/>
      <c r="D157" s="15" t="s">
        <v>418</v>
      </c>
      <c r="E157" s="25"/>
      <c r="F157" s="11"/>
      <c r="G157" s="14"/>
      <c r="H157" s="14"/>
      <c r="I157" s="133"/>
      <c r="J157" s="133"/>
      <c r="L157" s="84"/>
    </row>
    <row r="158" spans="1:12" s="26" customFormat="1" ht="29.25" customHeight="1">
      <c r="A158" s="125"/>
      <c r="B158" s="125"/>
      <c r="C158" s="125"/>
      <c r="D158" s="15" t="s">
        <v>303</v>
      </c>
      <c r="E158" s="25"/>
      <c r="F158" s="11"/>
      <c r="G158" s="14"/>
      <c r="H158" s="14"/>
      <c r="I158" s="133"/>
      <c r="J158" s="133"/>
      <c r="L158" s="84"/>
    </row>
    <row r="159" spans="1:16" s="26" customFormat="1" ht="29.25" customHeight="1">
      <c r="A159" s="10"/>
      <c r="B159" s="10"/>
      <c r="C159" s="24"/>
      <c r="D159" s="15" t="s">
        <v>419</v>
      </c>
      <c r="E159" s="25"/>
      <c r="F159" s="16"/>
      <c r="G159" s="14"/>
      <c r="H159" s="14"/>
      <c r="I159" s="133"/>
      <c r="J159" s="133"/>
      <c r="L159" s="84"/>
      <c r="M159" s="78"/>
      <c r="N159" s="78"/>
      <c r="O159" s="78"/>
      <c r="P159" s="78"/>
    </row>
    <row r="160" spans="1:12" s="26" customFormat="1" ht="33" customHeight="1">
      <c r="A160" s="10"/>
      <c r="B160" s="10"/>
      <c r="C160" s="24"/>
      <c r="D160" s="15" t="s">
        <v>420</v>
      </c>
      <c r="E160" s="25"/>
      <c r="F160" s="16"/>
      <c r="G160" s="14"/>
      <c r="H160" s="14"/>
      <c r="I160" s="133"/>
      <c r="J160" s="133"/>
      <c r="L160" s="84"/>
    </row>
    <row r="161" spans="1:12" s="26" customFormat="1" ht="22.5" customHeight="1">
      <c r="A161" s="10"/>
      <c r="B161" s="10"/>
      <c r="C161" s="24"/>
      <c r="D161" s="15" t="str">
        <f>""&amp;M154&amp;"x"&amp;N154&amp;"x"&amp;O154&amp;"+"&amp;M155&amp;"x"&amp;N155&amp;"x"&amp;O155&amp;""</f>
        <v>1,31x5x20,9+0,949x32x1,37</v>
      </c>
      <c r="E161" s="25"/>
      <c r="F161" s="16">
        <f>M154*N154*O154+M155*N155*O155</f>
        <v>178.49916000000002</v>
      </c>
      <c r="G161" s="14"/>
      <c r="H161" s="14"/>
      <c r="I161" s="133"/>
      <c r="J161" s="133"/>
      <c r="L161" s="84"/>
    </row>
    <row r="162" spans="1:12" s="26" customFormat="1" ht="30" customHeight="1">
      <c r="A162" s="10">
        <f>A156+1</f>
        <v>32</v>
      </c>
      <c r="B162" s="10" t="s">
        <v>301</v>
      </c>
      <c r="C162" s="24" t="s">
        <v>167</v>
      </c>
      <c r="D162" s="15" t="s">
        <v>304</v>
      </c>
      <c r="E162" s="25" t="s">
        <v>111</v>
      </c>
      <c r="F162" s="11">
        <f>F164</f>
        <v>178.49916000000002</v>
      </c>
      <c r="G162" s="14"/>
      <c r="H162" s="14"/>
      <c r="I162" s="133"/>
      <c r="J162" s="133"/>
      <c r="L162" s="84"/>
    </row>
    <row r="163" spans="1:12" s="26" customFormat="1" ht="67.5" customHeight="1">
      <c r="A163" s="10"/>
      <c r="B163" s="10"/>
      <c r="C163" s="24"/>
      <c r="D163" s="15" t="s">
        <v>305</v>
      </c>
      <c r="E163" s="25"/>
      <c r="F163" s="16"/>
      <c r="G163" s="14"/>
      <c r="H163" s="14"/>
      <c r="I163" s="133"/>
      <c r="J163" s="133"/>
      <c r="L163" s="84"/>
    </row>
    <row r="164" spans="1:12" s="26" customFormat="1" ht="21" customHeight="1">
      <c r="A164" s="10"/>
      <c r="B164" s="10"/>
      <c r="C164" s="24"/>
      <c r="D164" s="114" t="str">
        <f>D161</f>
        <v>1,31x5x20,9+0,949x32x1,37</v>
      </c>
      <c r="E164" s="25"/>
      <c r="F164" s="16">
        <f>F161</f>
        <v>178.49916000000002</v>
      </c>
      <c r="G164" s="14"/>
      <c r="H164" s="14"/>
      <c r="I164" s="133"/>
      <c r="J164" s="133"/>
      <c r="L164" s="84"/>
    </row>
    <row r="165" spans="1:12" s="26" customFormat="1" ht="21" customHeight="1">
      <c r="A165" s="10"/>
      <c r="B165" s="14"/>
      <c r="C165" s="22"/>
      <c r="D165" s="192" t="str">
        <f>"OGÓŁEM: "&amp;D151&amp;""</f>
        <v>OGÓŁEM: USTROJE NOŚNE</v>
      </c>
      <c r="E165" s="192"/>
      <c r="F165" s="192"/>
      <c r="G165" s="192"/>
      <c r="H165" s="14"/>
      <c r="I165" s="133"/>
      <c r="J165" s="133"/>
      <c r="L165" s="84"/>
    </row>
    <row r="166" spans="1:10" s="78" customFormat="1" ht="30" customHeight="1">
      <c r="A166" s="60" t="s">
        <v>243</v>
      </c>
      <c r="B166" s="60" t="s">
        <v>168</v>
      </c>
      <c r="C166" s="67"/>
      <c r="D166" s="60" t="s">
        <v>169</v>
      </c>
      <c r="E166" s="60" t="s">
        <v>21</v>
      </c>
      <c r="F166" s="54" t="s">
        <v>21</v>
      </c>
      <c r="G166" s="60"/>
      <c r="H166" s="60"/>
      <c r="I166" s="131"/>
      <c r="J166" s="131"/>
    </row>
    <row r="167" spans="1:10" s="26" customFormat="1" ht="31.5" customHeight="1">
      <c r="A167" s="14" t="s">
        <v>21</v>
      </c>
      <c r="B167" s="14" t="s">
        <v>170</v>
      </c>
      <c r="C167" s="14"/>
      <c r="D167" s="23" t="s">
        <v>171</v>
      </c>
      <c r="E167" s="14" t="s">
        <v>21</v>
      </c>
      <c r="F167" s="27" t="s">
        <v>21</v>
      </c>
      <c r="G167" s="14"/>
      <c r="H167" s="14"/>
      <c r="I167" s="133"/>
      <c r="J167" s="133"/>
    </row>
    <row r="168" spans="1:14" s="26" customFormat="1" ht="34.5" customHeight="1">
      <c r="A168" s="122">
        <f>A162+1</f>
        <v>33</v>
      </c>
      <c r="B168" s="10" t="s">
        <v>295</v>
      </c>
      <c r="C168" s="24" t="s">
        <v>296</v>
      </c>
      <c r="D168" s="123" t="s">
        <v>297</v>
      </c>
      <c r="E168" s="25" t="s">
        <v>112</v>
      </c>
      <c r="F168" s="124">
        <f>F170</f>
        <v>14</v>
      </c>
      <c r="G168" s="14"/>
      <c r="H168" s="14"/>
      <c r="I168" s="133"/>
      <c r="J168" s="133"/>
      <c r="L168" s="84" t="s">
        <v>256</v>
      </c>
      <c r="M168" s="26">
        <v>0.32</v>
      </c>
      <c r="N168" s="26" t="s">
        <v>257</v>
      </c>
    </row>
    <row r="169" spans="1:12" s="26" customFormat="1" ht="30" customHeight="1">
      <c r="A169" s="122"/>
      <c r="B169" s="10"/>
      <c r="C169" s="24"/>
      <c r="D169" s="123" t="s">
        <v>421</v>
      </c>
      <c r="E169" s="25"/>
      <c r="F169" s="124"/>
      <c r="G169" s="14"/>
      <c r="H169" s="14"/>
      <c r="I169" s="133"/>
      <c r="J169" s="133"/>
      <c r="L169" s="84"/>
    </row>
    <row r="170" spans="1:12" s="26" customFormat="1" ht="30" customHeight="1">
      <c r="A170" s="10"/>
      <c r="B170" s="10"/>
      <c r="C170" s="24"/>
      <c r="D170" s="15" t="s">
        <v>422</v>
      </c>
      <c r="E170" s="25" t="s">
        <v>112</v>
      </c>
      <c r="F170" s="16">
        <v>14</v>
      </c>
      <c r="G170" s="14"/>
      <c r="H170" s="14"/>
      <c r="I170" s="133"/>
      <c r="J170" s="133"/>
      <c r="L170" s="84"/>
    </row>
    <row r="171" spans="1:14" s="26" customFormat="1" ht="30" customHeight="1">
      <c r="A171" s="122">
        <f>A168+1</f>
        <v>34</v>
      </c>
      <c r="B171" s="10" t="s">
        <v>295</v>
      </c>
      <c r="C171" s="24" t="s">
        <v>63</v>
      </c>
      <c r="D171" s="123" t="s">
        <v>298</v>
      </c>
      <c r="E171" s="25" t="s">
        <v>10</v>
      </c>
      <c r="F171" s="124">
        <f>F173</f>
        <v>76</v>
      </c>
      <c r="G171" s="14"/>
      <c r="H171" s="14"/>
      <c r="I171" s="133"/>
      <c r="J171" s="133"/>
      <c r="L171" s="84" t="s">
        <v>165</v>
      </c>
      <c r="M171" s="26">
        <v>90</v>
      </c>
      <c r="N171" s="26">
        <v>540</v>
      </c>
    </row>
    <row r="172" spans="1:13" s="26" customFormat="1" ht="25.5">
      <c r="A172" s="122"/>
      <c r="B172" s="10"/>
      <c r="C172" s="24"/>
      <c r="D172" s="15" t="s">
        <v>300</v>
      </c>
      <c r="E172" s="25"/>
      <c r="F172" s="124"/>
      <c r="G172" s="14"/>
      <c r="H172" s="14"/>
      <c r="I172" s="133"/>
      <c r="J172" s="133"/>
      <c r="L172" s="84" t="s">
        <v>299</v>
      </c>
      <c r="M172" s="26">
        <v>0.12</v>
      </c>
    </row>
    <row r="173" spans="1:12" s="26" customFormat="1" ht="30" customHeight="1">
      <c r="A173" s="14"/>
      <c r="B173" s="14"/>
      <c r="C173" s="22"/>
      <c r="D173" s="15" t="str">
        <f>"("&amp;M171&amp;"+"&amp;N171&amp;")x"&amp;M172&amp;""</f>
        <v>(90+540)x0,12</v>
      </c>
      <c r="E173" s="25" t="s">
        <v>10</v>
      </c>
      <c r="F173" s="16">
        <f>ROUND((M171+N171)*M172,0)</f>
        <v>76</v>
      </c>
      <c r="G173" s="14"/>
      <c r="H173" s="14"/>
      <c r="I173" s="133"/>
      <c r="J173" s="133"/>
      <c r="L173" s="84"/>
    </row>
    <row r="174" spans="1:12" s="26" customFormat="1" ht="30" customHeight="1">
      <c r="A174" s="10">
        <f>A171+1</f>
        <v>35</v>
      </c>
      <c r="B174" s="10" t="s">
        <v>170</v>
      </c>
      <c r="C174" s="24" t="s">
        <v>136</v>
      </c>
      <c r="D174" s="15" t="s">
        <v>172</v>
      </c>
      <c r="E174" s="25" t="s">
        <v>12</v>
      </c>
      <c r="F174" s="16">
        <f>F176</f>
        <v>1362</v>
      </c>
      <c r="G174" s="14"/>
      <c r="H174" s="14"/>
      <c r="I174" s="133"/>
      <c r="J174" s="133"/>
      <c r="L174" s="84"/>
    </row>
    <row r="175" spans="1:13" s="26" customFormat="1" ht="30" customHeight="1">
      <c r="A175" s="10"/>
      <c r="B175" s="10"/>
      <c r="C175" s="24"/>
      <c r="D175" s="15" t="s">
        <v>423</v>
      </c>
      <c r="E175" s="25"/>
      <c r="F175" s="16"/>
      <c r="G175" s="14"/>
      <c r="H175" s="14"/>
      <c r="I175" s="133"/>
      <c r="J175" s="133"/>
      <c r="L175" s="84">
        <v>140</v>
      </c>
      <c r="M175" s="26" t="s">
        <v>255</v>
      </c>
    </row>
    <row r="176" spans="1:12" s="26" customFormat="1" ht="30" customHeight="1">
      <c r="A176" s="14"/>
      <c r="B176" s="14"/>
      <c r="C176" s="22"/>
      <c r="D176" s="15" t="s">
        <v>424</v>
      </c>
      <c r="E176" s="25" t="s">
        <v>12</v>
      </c>
      <c r="F176" s="16">
        <v>1362</v>
      </c>
      <c r="G176" s="14"/>
      <c r="H176" s="14"/>
      <c r="I176" s="133"/>
      <c r="J176" s="133"/>
      <c r="L176" s="84"/>
    </row>
    <row r="177" spans="1:12" s="26" customFormat="1" ht="30" customHeight="1">
      <c r="A177" s="10"/>
      <c r="B177" s="14"/>
      <c r="C177" s="22"/>
      <c r="D177" s="192" t="str">
        <f>"OGÓŁEM: "&amp;D166&amp;""</f>
        <v>OGÓŁEM: PŁYTY POMOSTU ZESPOLONE Z KONSTRUKCJĄ STALOWĄ</v>
      </c>
      <c r="E177" s="192"/>
      <c r="F177" s="192"/>
      <c r="G177" s="192"/>
      <c r="H177" s="53"/>
      <c r="I177" s="132"/>
      <c r="J177" s="132"/>
      <c r="L177" s="84"/>
    </row>
    <row r="178" spans="1:12" s="78" customFormat="1" ht="30" customHeight="1">
      <c r="A178" s="60" t="s">
        <v>327</v>
      </c>
      <c r="B178" s="60" t="s">
        <v>137</v>
      </c>
      <c r="C178" s="67"/>
      <c r="D178" s="60" t="s">
        <v>138</v>
      </c>
      <c r="E178" s="60" t="s">
        <v>21</v>
      </c>
      <c r="F178" s="54" t="s">
        <v>21</v>
      </c>
      <c r="G178" s="60" t="s">
        <v>21</v>
      </c>
      <c r="H178" s="60" t="s">
        <v>21</v>
      </c>
      <c r="I178" s="131"/>
      <c r="J178" s="131"/>
      <c r="L178" s="84"/>
    </row>
    <row r="179" spans="1:13" s="26" customFormat="1" ht="30" customHeight="1">
      <c r="A179" s="14" t="s">
        <v>21</v>
      </c>
      <c r="B179" s="14" t="s">
        <v>140</v>
      </c>
      <c r="C179" s="22"/>
      <c r="D179" s="23" t="s">
        <v>139</v>
      </c>
      <c r="E179" s="14" t="s">
        <v>21</v>
      </c>
      <c r="F179" s="27" t="s">
        <v>21</v>
      </c>
      <c r="G179" s="14" t="s">
        <v>21</v>
      </c>
      <c r="H179" s="14" t="s">
        <v>21</v>
      </c>
      <c r="I179" s="133"/>
      <c r="J179" s="133"/>
      <c r="L179" s="84" t="s">
        <v>133</v>
      </c>
      <c r="M179" s="17">
        <v>2</v>
      </c>
    </row>
    <row r="180" spans="1:13" s="26" customFormat="1" ht="30" customHeight="1">
      <c r="A180" s="10">
        <f>A174+1</f>
        <v>36</v>
      </c>
      <c r="B180" s="10" t="s">
        <v>140</v>
      </c>
      <c r="C180" s="24" t="s">
        <v>42</v>
      </c>
      <c r="D180" s="15" t="s">
        <v>205</v>
      </c>
      <c r="E180" s="25" t="s">
        <v>112</v>
      </c>
      <c r="F180" s="16">
        <f>F182</f>
        <v>0.836</v>
      </c>
      <c r="G180" s="16">
        <v>10000</v>
      </c>
      <c r="H180" s="16">
        <f>IF(ROUND(F180*G180,2)=0," ",ROUND(F180*G180,2))</f>
        <v>8360</v>
      </c>
      <c r="I180" s="134"/>
      <c r="J180" s="134"/>
      <c r="L180" s="84" t="s">
        <v>147</v>
      </c>
      <c r="M180" s="26">
        <v>0.5</v>
      </c>
    </row>
    <row r="181" spans="1:13" s="26" customFormat="1" ht="30" customHeight="1">
      <c r="A181" s="10"/>
      <c r="B181" s="10"/>
      <c r="C181" s="24"/>
      <c r="D181" s="15" t="s">
        <v>79</v>
      </c>
      <c r="E181" s="10"/>
      <c r="F181" s="16"/>
      <c r="G181" s="10"/>
      <c r="H181" s="10"/>
      <c r="I181" s="136"/>
      <c r="J181" s="136"/>
      <c r="L181" s="84" t="s">
        <v>148</v>
      </c>
      <c r="M181" s="26">
        <v>0.04</v>
      </c>
    </row>
    <row r="182" spans="1:13" s="26" customFormat="1" ht="30" customHeight="1">
      <c r="A182" s="10"/>
      <c r="B182" s="10"/>
      <c r="C182" s="24"/>
      <c r="D182" s="15" t="str">
        <f>""&amp;M180&amp;"x"&amp;M181&amp;"x"&amp;M182&amp;"x"&amp;M179&amp;""</f>
        <v>0,5x0,04x20,9x2</v>
      </c>
      <c r="E182" s="25" t="s">
        <v>112</v>
      </c>
      <c r="F182" s="16">
        <f>M180*M181*M182*M179</f>
        <v>0.836</v>
      </c>
      <c r="G182" s="10"/>
      <c r="H182" s="10"/>
      <c r="I182" s="136"/>
      <c r="J182" s="136"/>
      <c r="L182" s="84" t="s">
        <v>185</v>
      </c>
      <c r="M182" s="26">
        <v>20.9</v>
      </c>
    </row>
    <row r="183" spans="1:12" s="26" customFormat="1" ht="30" customHeight="1">
      <c r="A183" s="10">
        <f>A180+1</f>
        <v>37</v>
      </c>
      <c r="B183" s="10" t="s">
        <v>140</v>
      </c>
      <c r="C183" s="24" t="s">
        <v>63</v>
      </c>
      <c r="D183" s="15" t="s">
        <v>200</v>
      </c>
      <c r="E183" s="25" t="s">
        <v>112</v>
      </c>
      <c r="F183" s="16">
        <f>F184</f>
        <v>0.836</v>
      </c>
      <c r="G183" s="16">
        <v>3000</v>
      </c>
      <c r="H183" s="16">
        <f>IF(ROUND(F183*G183,2)=0," ",ROUND(F183*G183,2))</f>
        <v>2508</v>
      </c>
      <c r="I183" s="134"/>
      <c r="J183" s="134"/>
      <c r="L183" s="84"/>
    </row>
    <row r="184" spans="1:12" s="26" customFormat="1" ht="30" customHeight="1">
      <c r="A184" s="10"/>
      <c r="B184" s="10"/>
      <c r="C184" s="24"/>
      <c r="D184" s="15" t="str">
        <f>"poz."&amp;A180&amp;""</f>
        <v>poz.36</v>
      </c>
      <c r="E184" s="25" t="s">
        <v>112</v>
      </c>
      <c r="F184" s="16">
        <f>F182</f>
        <v>0.836</v>
      </c>
      <c r="G184" s="16"/>
      <c r="H184" s="16"/>
      <c r="I184" s="134"/>
      <c r="J184" s="134"/>
      <c r="L184" s="84"/>
    </row>
    <row r="185" spans="1:14" s="26" customFormat="1" ht="30" customHeight="1">
      <c r="A185" s="10">
        <f>A183+1</f>
        <v>38</v>
      </c>
      <c r="B185" s="10" t="s">
        <v>140</v>
      </c>
      <c r="C185" s="24" t="s">
        <v>107</v>
      </c>
      <c r="D185" s="15" t="s">
        <v>55</v>
      </c>
      <c r="E185" s="25" t="s">
        <v>12</v>
      </c>
      <c r="F185" s="16">
        <f>F187</f>
        <v>94.91999999999999</v>
      </c>
      <c r="G185" s="16">
        <v>15.2</v>
      </c>
      <c r="H185" s="16">
        <f>IF(ROUND(F185*G185,2)=0," ",ROUND(F185*G185,2))</f>
        <v>1442.78</v>
      </c>
      <c r="I185" s="134"/>
      <c r="J185" s="134"/>
      <c r="L185" s="84" t="s">
        <v>149</v>
      </c>
      <c r="M185" s="26">
        <v>42</v>
      </c>
      <c r="N185" s="26" t="s">
        <v>74</v>
      </c>
    </row>
    <row r="186" spans="1:14" s="26" customFormat="1" ht="30" customHeight="1">
      <c r="A186" s="10"/>
      <c r="B186" s="10"/>
      <c r="C186" s="24"/>
      <c r="D186" s="15" t="s">
        <v>425</v>
      </c>
      <c r="E186" s="25"/>
      <c r="F186" s="16"/>
      <c r="G186" s="16"/>
      <c r="H186" s="16"/>
      <c r="I186" s="134"/>
      <c r="J186" s="134"/>
      <c r="L186" s="84" t="s">
        <v>262</v>
      </c>
      <c r="M186" s="26">
        <v>2.26</v>
      </c>
      <c r="N186" s="26" t="s">
        <v>12</v>
      </c>
    </row>
    <row r="187" spans="1:12" s="26" customFormat="1" ht="30" customHeight="1">
      <c r="A187" s="10"/>
      <c r="B187" s="10"/>
      <c r="C187" s="24"/>
      <c r="D187" s="15" t="str">
        <f>""&amp;M185&amp;"x"&amp;M186&amp;""</f>
        <v>42x2,26</v>
      </c>
      <c r="E187" s="25" t="s">
        <v>12</v>
      </c>
      <c r="F187" s="16">
        <f>M185*M186</f>
        <v>94.91999999999999</v>
      </c>
      <c r="G187" s="16"/>
      <c r="H187" s="16"/>
      <c r="I187" s="134"/>
      <c r="J187" s="134"/>
      <c r="L187" s="84"/>
    </row>
    <row r="188" spans="1:12" s="26" customFormat="1" ht="30" customHeight="1">
      <c r="A188" s="10"/>
      <c r="B188" s="14"/>
      <c r="C188" s="22"/>
      <c r="D188" s="192" t="str">
        <f>"OGÓŁEM: "&amp;D178&amp;""</f>
        <v>OGÓŁEM: KAPY CHODNIKOWE</v>
      </c>
      <c r="E188" s="192"/>
      <c r="F188" s="192"/>
      <c r="G188" s="192"/>
      <c r="H188" s="53"/>
      <c r="I188" s="132"/>
      <c r="J188" s="132"/>
      <c r="L188" s="84"/>
    </row>
    <row r="189" spans="1:12" s="78" customFormat="1" ht="30" customHeight="1">
      <c r="A189" s="60" t="s">
        <v>244</v>
      </c>
      <c r="B189" s="60" t="s">
        <v>195</v>
      </c>
      <c r="C189" s="67"/>
      <c r="D189" s="60" t="s">
        <v>196</v>
      </c>
      <c r="E189" s="60" t="s">
        <v>21</v>
      </c>
      <c r="F189" s="54" t="s">
        <v>21</v>
      </c>
      <c r="G189" s="60"/>
      <c r="H189" s="60"/>
      <c r="I189" s="131"/>
      <c r="J189" s="131"/>
      <c r="L189" s="84"/>
    </row>
    <row r="190" spans="1:12" s="26" customFormat="1" ht="30" customHeight="1">
      <c r="A190" s="14" t="s">
        <v>21</v>
      </c>
      <c r="B190" s="14" t="s">
        <v>197</v>
      </c>
      <c r="C190" s="22"/>
      <c r="D190" s="23" t="s">
        <v>198</v>
      </c>
      <c r="E190" s="14" t="s">
        <v>21</v>
      </c>
      <c r="F190" s="27" t="s">
        <v>21</v>
      </c>
      <c r="G190" s="16"/>
      <c r="H190" s="16"/>
      <c r="I190" s="134"/>
      <c r="J190" s="134"/>
      <c r="L190" s="84"/>
    </row>
    <row r="191" spans="1:14" s="26" customFormat="1" ht="30" customHeight="1">
      <c r="A191" s="10">
        <f>A185+1</f>
        <v>39</v>
      </c>
      <c r="B191" s="10" t="s">
        <v>309</v>
      </c>
      <c r="C191" s="24" t="s">
        <v>167</v>
      </c>
      <c r="D191" s="15" t="s">
        <v>310</v>
      </c>
      <c r="E191" s="25" t="s">
        <v>111</v>
      </c>
      <c r="F191" s="11">
        <f>F192</f>
        <v>1</v>
      </c>
      <c r="G191" s="16"/>
      <c r="H191" s="16"/>
      <c r="I191" s="134"/>
      <c r="J191" s="134"/>
      <c r="L191" s="84" t="s">
        <v>230</v>
      </c>
      <c r="M191" s="26">
        <v>20</v>
      </c>
      <c r="N191" s="26">
        <v>0.05</v>
      </c>
    </row>
    <row r="192" spans="1:12" s="26" customFormat="1" ht="30" customHeight="1">
      <c r="A192" s="10"/>
      <c r="B192" s="10"/>
      <c r="C192" s="24"/>
      <c r="D192" s="15" t="str">
        <f>""&amp;M191&amp;"x"&amp;N191&amp;""</f>
        <v>20x0,05</v>
      </c>
      <c r="E192" s="25" t="s">
        <v>111</v>
      </c>
      <c r="F192" s="16">
        <f>M191*N191</f>
        <v>1</v>
      </c>
      <c r="G192" s="16"/>
      <c r="H192" s="16"/>
      <c r="I192" s="134"/>
      <c r="J192" s="134"/>
      <c r="L192" s="84"/>
    </row>
    <row r="193" spans="1:12" s="26" customFormat="1" ht="30" customHeight="1">
      <c r="A193" s="10">
        <f>A191+1</f>
        <v>40</v>
      </c>
      <c r="B193" s="10" t="s">
        <v>309</v>
      </c>
      <c r="C193" s="24" t="s">
        <v>167</v>
      </c>
      <c r="D193" s="15" t="s">
        <v>311</v>
      </c>
      <c r="E193" s="25" t="s">
        <v>111</v>
      </c>
      <c r="F193" s="11">
        <f>F194</f>
        <v>1</v>
      </c>
      <c r="G193" s="16"/>
      <c r="H193" s="16"/>
      <c r="I193" s="134"/>
      <c r="J193" s="134"/>
      <c r="L193" s="84"/>
    </row>
    <row r="194" spans="1:12" s="26" customFormat="1" ht="30" customHeight="1">
      <c r="A194" s="10"/>
      <c r="B194" s="10"/>
      <c r="C194" s="24"/>
      <c r="D194" s="15" t="str">
        <f>D192</f>
        <v>20x0,05</v>
      </c>
      <c r="E194" s="25" t="s">
        <v>111</v>
      </c>
      <c r="F194" s="16">
        <f>F192</f>
        <v>1</v>
      </c>
      <c r="G194" s="16"/>
      <c r="H194" s="16"/>
      <c r="I194" s="134"/>
      <c r="J194" s="134"/>
      <c r="L194" s="84"/>
    </row>
    <row r="195" spans="1:12" s="26" customFormat="1" ht="30" customHeight="1">
      <c r="A195" s="10"/>
      <c r="B195" s="14"/>
      <c r="C195" s="22"/>
      <c r="D195" s="192" t="str">
        <f>"OGÓŁEM: "&amp;D189&amp;""</f>
        <v>OGÓŁEM: ŁOŻYSKA</v>
      </c>
      <c r="E195" s="192"/>
      <c r="F195" s="192"/>
      <c r="G195" s="192"/>
      <c r="H195" s="16"/>
      <c r="I195" s="134"/>
      <c r="J195" s="134"/>
      <c r="L195" s="84"/>
    </row>
    <row r="196" spans="1:13" s="78" customFormat="1" ht="30" customHeight="1">
      <c r="A196" s="60" t="s">
        <v>390</v>
      </c>
      <c r="B196" s="60" t="s">
        <v>104</v>
      </c>
      <c r="C196" s="67"/>
      <c r="D196" s="60" t="s">
        <v>105</v>
      </c>
      <c r="E196" s="60" t="s">
        <v>21</v>
      </c>
      <c r="F196" s="54" t="s">
        <v>21</v>
      </c>
      <c r="G196" s="60" t="s">
        <v>21</v>
      </c>
      <c r="H196" s="60" t="s">
        <v>21</v>
      </c>
      <c r="I196" s="131"/>
      <c r="J196" s="131"/>
      <c r="L196" s="84"/>
      <c r="M196" s="26"/>
    </row>
    <row r="197" spans="1:12" s="26" customFormat="1" ht="30" customHeight="1">
      <c r="A197" s="14" t="s">
        <v>21</v>
      </c>
      <c r="B197" s="14" t="s">
        <v>157</v>
      </c>
      <c r="C197" s="22"/>
      <c r="D197" s="23" t="s">
        <v>312</v>
      </c>
      <c r="E197" s="14" t="s">
        <v>21</v>
      </c>
      <c r="F197" s="27" t="s">
        <v>21</v>
      </c>
      <c r="G197" s="16" t="s">
        <v>21</v>
      </c>
      <c r="H197" s="16" t="s">
        <v>21</v>
      </c>
      <c r="I197" s="134"/>
      <c r="J197" s="134"/>
      <c r="L197" s="84"/>
    </row>
    <row r="198" spans="1:13" s="26" customFormat="1" ht="30" customHeight="1">
      <c r="A198" s="10">
        <f>A193+1</f>
        <v>41</v>
      </c>
      <c r="B198" s="10" t="s">
        <v>157</v>
      </c>
      <c r="C198" s="24" t="s">
        <v>63</v>
      </c>
      <c r="D198" s="15" t="s">
        <v>313</v>
      </c>
      <c r="E198" s="25" t="s">
        <v>10</v>
      </c>
      <c r="F198" s="16">
        <f>F200</f>
        <v>12</v>
      </c>
      <c r="G198" s="16">
        <v>2500</v>
      </c>
      <c r="H198" s="16">
        <f>IF(ROUND(F198*G198,2)=0," ",ROUND(F198*G198,2))</f>
        <v>30000</v>
      </c>
      <c r="I198" s="134"/>
      <c r="J198" s="134"/>
      <c r="L198" s="84" t="s">
        <v>146</v>
      </c>
      <c r="M198" s="26">
        <v>6</v>
      </c>
    </row>
    <row r="199" spans="1:13" s="26" customFormat="1" ht="30" customHeight="1">
      <c r="A199" s="10"/>
      <c r="B199" s="10"/>
      <c r="C199" s="24"/>
      <c r="D199" s="15" t="s">
        <v>313</v>
      </c>
      <c r="E199" s="25"/>
      <c r="F199" s="16"/>
      <c r="G199" s="16"/>
      <c r="H199" s="16"/>
      <c r="I199" s="134"/>
      <c r="J199" s="134"/>
      <c r="L199" s="84" t="str">
        <f>L205</f>
        <v>mnożnik</v>
      </c>
      <c r="M199" s="26">
        <v>2</v>
      </c>
    </row>
    <row r="200" spans="1:12" s="26" customFormat="1" ht="30" customHeight="1">
      <c r="A200" s="25"/>
      <c r="B200" s="10"/>
      <c r="C200" s="24"/>
      <c r="D200" s="15" t="str">
        <f>""&amp;M198&amp;"x"&amp;M199&amp;""</f>
        <v>6x2</v>
      </c>
      <c r="E200" s="25" t="s">
        <v>10</v>
      </c>
      <c r="F200" s="16">
        <f>M198*M199</f>
        <v>12</v>
      </c>
      <c r="G200" s="16"/>
      <c r="H200" s="16"/>
      <c r="I200" s="134"/>
      <c r="J200" s="134"/>
      <c r="L200" s="84"/>
    </row>
    <row r="201" spans="1:12" s="26" customFormat="1" ht="30" customHeight="1">
      <c r="A201" s="10"/>
      <c r="B201" s="14"/>
      <c r="C201" s="22"/>
      <c r="D201" s="192" t="str">
        <f>"OGÓŁEM: "&amp;D196&amp;""</f>
        <v>OGÓŁEM: URZĄDZENIA DYLATACYJNE</v>
      </c>
      <c r="E201" s="192"/>
      <c r="F201" s="192"/>
      <c r="G201" s="192"/>
      <c r="H201" s="53"/>
      <c r="I201" s="132"/>
      <c r="J201" s="132"/>
      <c r="L201" s="84"/>
    </row>
    <row r="202" spans="1:12" s="78" customFormat="1" ht="30" customHeight="1">
      <c r="A202" s="60" t="s">
        <v>453</v>
      </c>
      <c r="B202" s="60" t="s">
        <v>84</v>
      </c>
      <c r="C202" s="67"/>
      <c r="D202" s="60" t="s">
        <v>85</v>
      </c>
      <c r="E202" s="60" t="s">
        <v>21</v>
      </c>
      <c r="F202" s="54" t="s">
        <v>21</v>
      </c>
      <c r="G202" s="60" t="s">
        <v>21</v>
      </c>
      <c r="H202" s="60" t="s">
        <v>21</v>
      </c>
      <c r="I202" s="131"/>
      <c r="J202" s="131"/>
      <c r="L202" s="84"/>
    </row>
    <row r="203" spans="1:12" s="26" customFormat="1" ht="30" customHeight="1">
      <c r="A203" s="14" t="s">
        <v>21</v>
      </c>
      <c r="B203" s="14" t="s">
        <v>86</v>
      </c>
      <c r="C203" s="22"/>
      <c r="D203" s="23" t="s">
        <v>87</v>
      </c>
      <c r="E203" s="14" t="s">
        <v>21</v>
      </c>
      <c r="F203" s="27" t="s">
        <v>21</v>
      </c>
      <c r="G203" s="14" t="s">
        <v>21</v>
      </c>
      <c r="H203" s="14" t="s">
        <v>21</v>
      </c>
      <c r="I203" s="133"/>
      <c r="J203" s="133"/>
      <c r="L203" s="84"/>
    </row>
    <row r="204" spans="1:13" s="26" customFormat="1" ht="30" customHeight="1">
      <c r="A204" s="25">
        <f>A198+1</f>
        <v>42</v>
      </c>
      <c r="B204" s="10" t="s">
        <v>86</v>
      </c>
      <c r="C204" s="24" t="s">
        <v>63</v>
      </c>
      <c r="D204" s="28" t="s">
        <v>182</v>
      </c>
      <c r="E204" s="25" t="s">
        <v>74</v>
      </c>
      <c r="F204" s="16">
        <f>F205</f>
        <v>4</v>
      </c>
      <c r="G204" s="16">
        <v>200</v>
      </c>
      <c r="H204" s="16">
        <f>IF(ROUND(F204*G204,2)=0," ",ROUND(F204*G204,2))</f>
        <v>800</v>
      </c>
      <c r="I204" s="134"/>
      <c r="J204" s="134"/>
      <c r="L204" s="84" t="s">
        <v>145</v>
      </c>
      <c r="M204" s="26">
        <v>2</v>
      </c>
    </row>
    <row r="205" spans="1:13" s="26" customFormat="1" ht="30" customHeight="1">
      <c r="A205" s="25"/>
      <c r="B205" s="10"/>
      <c r="C205" s="24"/>
      <c r="D205" s="15" t="str">
        <f>""&amp;M204&amp;"x"&amp;M205&amp;""</f>
        <v>2x2</v>
      </c>
      <c r="E205" s="25" t="s">
        <v>74</v>
      </c>
      <c r="F205" s="16">
        <f>M204*M205</f>
        <v>4</v>
      </c>
      <c r="G205" s="16"/>
      <c r="H205" s="16"/>
      <c r="I205" s="134"/>
      <c r="J205" s="134"/>
      <c r="L205" s="84" t="s">
        <v>144</v>
      </c>
      <c r="M205" s="26">
        <v>2</v>
      </c>
    </row>
    <row r="206" spans="1:14" s="26" customFormat="1" ht="30" customHeight="1">
      <c r="A206" s="14" t="s">
        <v>21</v>
      </c>
      <c r="B206" s="14" t="s">
        <v>88</v>
      </c>
      <c r="C206" s="22"/>
      <c r="D206" s="23" t="s">
        <v>89</v>
      </c>
      <c r="E206" s="14" t="s">
        <v>21</v>
      </c>
      <c r="F206" s="27" t="s">
        <v>21</v>
      </c>
      <c r="G206" s="14" t="s">
        <v>21</v>
      </c>
      <c r="H206" s="14" t="s">
        <v>21</v>
      </c>
      <c r="I206" s="133"/>
      <c r="J206" s="133"/>
      <c r="L206" s="84" t="s">
        <v>143</v>
      </c>
      <c r="M206" s="26">
        <v>19</v>
      </c>
      <c r="N206" s="26">
        <v>6</v>
      </c>
    </row>
    <row r="207" spans="1:13" s="26" customFormat="1" ht="30" customHeight="1">
      <c r="A207" s="25">
        <f>A204+1</f>
        <v>43</v>
      </c>
      <c r="B207" s="10" t="s">
        <v>88</v>
      </c>
      <c r="C207" s="24" t="s">
        <v>103</v>
      </c>
      <c r="D207" s="28" t="s">
        <v>90</v>
      </c>
      <c r="E207" s="25" t="s">
        <v>10</v>
      </c>
      <c r="F207" s="16">
        <f>F209</f>
        <v>38</v>
      </c>
      <c r="G207" s="16">
        <v>60</v>
      </c>
      <c r="H207" s="16">
        <f>IF(ROUND(F207*G207,2)=0," ",ROUND(F207*G207,2))</f>
        <v>2280</v>
      </c>
      <c r="I207" s="134"/>
      <c r="J207" s="134"/>
      <c r="L207" s="84" t="s">
        <v>183</v>
      </c>
      <c r="M207" s="26">
        <v>2</v>
      </c>
    </row>
    <row r="208" spans="1:12" s="26" customFormat="1" ht="30" customHeight="1">
      <c r="A208" s="25"/>
      <c r="B208" s="10"/>
      <c r="C208" s="24"/>
      <c r="D208" s="28" t="s">
        <v>184</v>
      </c>
      <c r="E208" s="25"/>
      <c r="F208" s="16"/>
      <c r="G208" s="16"/>
      <c r="H208" s="16"/>
      <c r="I208" s="134"/>
      <c r="J208" s="134"/>
      <c r="L208" s="84"/>
    </row>
    <row r="209" spans="1:12" s="26" customFormat="1" ht="30" customHeight="1">
      <c r="A209" s="25"/>
      <c r="B209" s="10"/>
      <c r="C209" s="24"/>
      <c r="D209" s="15" t="str">
        <f>"("&amp;M206&amp;"+"&amp;N206&amp;")x"&amp;M207&amp;""</f>
        <v>(19+6)x2</v>
      </c>
      <c r="E209" s="25" t="s">
        <v>10</v>
      </c>
      <c r="F209" s="16">
        <f>(M206+O206)*M207</f>
        <v>38</v>
      </c>
      <c r="G209" s="16"/>
      <c r="H209" s="16"/>
      <c r="I209" s="134"/>
      <c r="J209" s="134"/>
      <c r="L209" s="85"/>
    </row>
    <row r="210" spans="1:12" s="26" customFormat="1" ht="30" customHeight="1">
      <c r="A210" s="10"/>
      <c r="B210" s="14"/>
      <c r="C210" s="22"/>
      <c r="D210" s="192" t="str">
        <f>"OGÓŁEM: "&amp;D202&amp;""</f>
        <v>OGÓŁEM: ODWODNIENIE</v>
      </c>
      <c r="E210" s="192"/>
      <c r="F210" s="192"/>
      <c r="G210" s="192"/>
      <c r="H210" s="53"/>
      <c r="I210" s="132"/>
      <c r="J210" s="132"/>
      <c r="L210" s="84"/>
    </row>
    <row r="211" spans="1:14" s="78" customFormat="1" ht="30" customHeight="1">
      <c r="A211" s="60" t="s">
        <v>454</v>
      </c>
      <c r="B211" s="60" t="s">
        <v>56</v>
      </c>
      <c r="C211" s="67"/>
      <c r="D211" s="60" t="s">
        <v>57</v>
      </c>
      <c r="E211" s="60" t="s">
        <v>21</v>
      </c>
      <c r="F211" s="54" t="s">
        <v>21</v>
      </c>
      <c r="G211" s="60" t="s">
        <v>21</v>
      </c>
      <c r="H211" s="60" t="s">
        <v>21</v>
      </c>
      <c r="I211" s="131"/>
      <c r="J211" s="131"/>
      <c r="L211" s="84" t="s">
        <v>194</v>
      </c>
      <c r="M211" s="78">
        <v>2.5</v>
      </c>
      <c r="N211" s="78">
        <v>2</v>
      </c>
    </row>
    <row r="212" spans="1:14" s="26" customFormat="1" ht="30" customHeight="1">
      <c r="A212" s="14" t="s">
        <v>21</v>
      </c>
      <c r="B212" s="14" t="s">
        <v>58</v>
      </c>
      <c r="C212" s="22"/>
      <c r="D212" s="23" t="s">
        <v>59</v>
      </c>
      <c r="E212" s="14" t="s">
        <v>21</v>
      </c>
      <c r="F212" s="27" t="s">
        <v>21</v>
      </c>
      <c r="G212" s="14" t="s">
        <v>21</v>
      </c>
      <c r="H212" s="14" t="s">
        <v>21</v>
      </c>
      <c r="I212" s="133"/>
      <c r="J212" s="133"/>
      <c r="L212" s="84" t="s">
        <v>314</v>
      </c>
      <c r="M212" s="26">
        <v>7</v>
      </c>
      <c r="N212" s="26">
        <v>7.8</v>
      </c>
    </row>
    <row r="213" spans="1:13" s="26" customFormat="1" ht="30" customHeight="1">
      <c r="A213" s="14" t="s">
        <v>21</v>
      </c>
      <c r="B213" s="14" t="s">
        <v>60</v>
      </c>
      <c r="C213" s="22"/>
      <c r="D213" s="23" t="s">
        <v>61</v>
      </c>
      <c r="E213" s="14" t="s">
        <v>21</v>
      </c>
      <c r="F213" s="27" t="s">
        <v>21</v>
      </c>
      <c r="G213" s="14" t="s">
        <v>21</v>
      </c>
      <c r="H213" s="14" t="s">
        <v>21</v>
      </c>
      <c r="I213" s="133"/>
      <c r="J213" s="133"/>
      <c r="L213" s="84" t="s">
        <v>315</v>
      </c>
      <c r="M213" s="26">
        <v>3.5</v>
      </c>
    </row>
    <row r="214" spans="1:14" s="26" customFormat="1" ht="30" customHeight="1">
      <c r="A214" s="25">
        <f>A207+1</f>
        <v>44</v>
      </c>
      <c r="B214" s="10" t="s">
        <v>60</v>
      </c>
      <c r="C214" s="24">
        <v>51</v>
      </c>
      <c r="D214" s="28" t="s">
        <v>62</v>
      </c>
      <c r="E214" s="25" t="s">
        <v>111</v>
      </c>
      <c r="F214" s="16">
        <f>F216</f>
        <v>68.5</v>
      </c>
      <c r="G214" s="16">
        <v>30</v>
      </c>
      <c r="H214" s="16">
        <f>IF(ROUND(F214*G214,2)=0," ",ROUND(F214*G214,2))</f>
        <v>2055</v>
      </c>
      <c r="I214" s="134"/>
      <c r="J214" s="134"/>
      <c r="L214" s="84" t="s">
        <v>316</v>
      </c>
      <c r="M214" s="26">
        <v>2.5</v>
      </c>
      <c r="N214" s="17"/>
    </row>
    <row r="215" spans="1:12" s="26" customFormat="1" ht="19.5" customHeight="1">
      <c r="A215" s="25"/>
      <c r="B215" s="10"/>
      <c r="C215" s="24"/>
      <c r="D215" s="28" t="s">
        <v>263</v>
      </c>
      <c r="E215" s="25"/>
      <c r="F215" s="16"/>
      <c r="G215" s="16"/>
      <c r="H215" s="16"/>
      <c r="I215" s="134"/>
      <c r="J215" s="134"/>
      <c r="L215" s="84"/>
    </row>
    <row r="216" spans="1:14" s="26" customFormat="1" ht="30" customHeight="1">
      <c r="A216" s="25"/>
      <c r="B216" s="10"/>
      <c r="C216" s="24"/>
      <c r="D216" s="15" t="str">
        <f>"4x"&amp;M211&amp;"x"&amp;M214&amp;"+"&amp;M212&amp;"x"&amp;M214&amp;""&amp;N211&amp;"x"&amp;N212&amp;""</f>
        <v>4x2,5x2,5+7x2,52x7,8</v>
      </c>
      <c r="E216" s="25" t="s">
        <v>111</v>
      </c>
      <c r="F216" s="16">
        <f>CEILING(4*M213*M214+M211*M212+N211*N212,0.5)</f>
        <v>68.5</v>
      </c>
      <c r="G216" s="16"/>
      <c r="H216" s="16"/>
      <c r="I216" s="134"/>
      <c r="J216" s="134"/>
      <c r="L216" s="84"/>
      <c r="N216" s="17"/>
    </row>
    <row r="217" spans="1:13" s="26" customFormat="1" ht="30" customHeight="1">
      <c r="A217" s="14" t="s">
        <v>21</v>
      </c>
      <c r="B217" s="14" t="s">
        <v>81</v>
      </c>
      <c r="C217" s="22"/>
      <c r="D217" s="23" t="s">
        <v>80</v>
      </c>
      <c r="E217" s="14" t="s">
        <v>21</v>
      </c>
      <c r="F217" s="27" t="s">
        <v>21</v>
      </c>
      <c r="G217" s="14" t="s">
        <v>21</v>
      </c>
      <c r="H217" s="14" t="s">
        <v>21</v>
      </c>
      <c r="I217" s="133"/>
      <c r="J217" s="133"/>
      <c r="L217" s="84" t="s">
        <v>141</v>
      </c>
      <c r="M217" s="26">
        <v>6</v>
      </c>
    </row>
    <row r="218" spans="1:13" s="26" customFormat="1" ht="30" customHeight="1">
      <c r="A218" s="10">
        <f>A214+1</f>
        <v>45</v>
      </c>
      <c r="B218" s="10" t="s">
        <v>81</v>
      </c>
      <c r="C218" s="24" t="s">
        <v>42</v>
      </c>
      <c r="D218" s="15" t="s">
        <v>82</v>
      </c>
      <c r="E218" s="25" t="s">
        <v>111</v>
      </c>
      <c r="F218" s="16">
        <f>F220</f>
        <v>134.39999999999998</v>
      </c>
      <c r="G218" s="16">
        <v>60</v>
      </c>
      <c r="H218" s="16">
        <f>IF(ROUND(F218*G218,2)=0," ",ROUND(F218*G218,2))</f>
        <v>8064</v>
      </c>
      <c r="I218" s="134"/>
      <c r="J218" s="134"/>
      <c r="L218" s="84" t="s">
        <v>142</v>
      </c>
      <c r="M218" s="26">
        <v>22.4</v>
      </c>
    </row>
    <row r="219" spans="1:12" s="26" customFormat="1" ht="25.5">
      <c r="A219" s="10"/>
      <c r="B219" s="10"/>
      <c r="C219" s="24"/>
      <c r="D219" s="15" t="s">
        <v>306</v>
      </c>
      <c r="E219" s="25"/>
      <c r="F219" s="16"/>
      <c r="G219" s="16"/>
      <c r="H219" s="16"/>
      <c r="I219" s="134"/>
      <c r="J219" s="134"/>
      <c r="L219" s="84"/>
    </row>
    <row r="220" spans="1:12" s="26" customFormat="1" ht="30" customHeight="1">
      <c r="A220" s="10"/>
      <c r="B220" s="10"/>
      <c r="C220" s="24"/>
      <c r="D220" s="15" t="str">
        <f>""&amp;M218&amp;"x"&amp;M217&amp;" - z wyciągnięciem papy na poprzecznicę zamykającą"</f>
        <v>22,4x6 - z wyciągnięciem papy na poprzecznicę zamykającą</v>
      </c>
      <c r="E220" s="25" t="s">
        <v>111</v>
      </c>
      <c r="F220" s="16">
        <f>M217*M218</f>
        <v>134.39999999999998</v>
      </c>
      <c r="G220" s="16"/>
      <c r="H220" s="16"/>
      <c r="I220" s="134"/>
      <c r="J220" s="134"/>
      <c r="L220" s="84"/>
    </row>
    <row r="221" spans="1:12" s="26" customFormat="1" ht="30" customHeight="1">
      <c r="A221" s="10">
        <f>A218+1</f>
        <v>46</v>
      </c>
      <c r="B221" s="10" t="s">
        <v>81</v>
      </c>
      <c r="C221" s="24" t="s">
        <v>63</v>
      </c>
      <c r="D221" s="15" t="s">
        <v>83</v>
      </c>
      <c r="E221" s="25" t="s">
        <v>111</v>
      </c>
      <c r="F221" s="16">
        <f>F222</f>
        <v>134.39999999999998</v>
      </c>
      <c r="G221" s="16">
        <v>45</v>
      </c>
      <c r="H221" s="16">
        <f>IF(ROUND(F221*G221,2)=0," ",ROUND(F221*G221,2))</f>
        <v>6048</v>
      </c>
      <c r="I221" s="134"/>
      <c r="J221" s="134"/>
      <c r="L221" s="84"/>
    </row>
    <row r="222" spans="1:12" s="26" customFormat="1" ht="30" customHeight="1">
      <c r="A222" s="10"/>
      <c r="B222" s="10"/>
      <c r="C222" s="24"/>
      <c r="D222" s="15" t="str">
        <f>D220</f>
        <v>22,4x6 - z wyciągnięciem papy na poprzecznicę zamykającą</v>
      </c>
      <c r="E222" s="25" t="s">
        <v>111</v>
      </c>
      <c r="F222" s="16">
        <f>F220</f>
        <v>134.39999999999998</v>
      </c>
      <c r="G222" s="16"/>
      <c r="H222" s="16"/>
      <c r="I222" s="134"/>
      <c r="J222" s="134"/>
      <c r="L222" s="84"/>
    </row>
    <row r="223" spans="1:12" s="26" customFormat="1" ht="30" customHeight="1" hidden="1">
      <c r="A223" s="25"/>
      <c r="B223" s="29"/>
      <c r="C223" s="30"/>
      <c r="D223" s="192" t="str">
        <f>"RAZEM: "&amp;D211&amp;""</f>
        <v>RAZEM: HYDROIZOLACJA</v>
      </c>
      <c r="E223" s="192"/>
      <c r="F223" s="192"/>
      <c r="G223" s="192"/>
      <c r="H223" s="53">
        <f>IF(SUM(H214,H218,H221)=0," ",SUM(H214,H218,H221))</f>
        <v>16167</v>
      </c>
      <c r="I223" s="132"/>
      <c r="J223" s="132"/>
      <c r="L223" s="84"/>
    </row>
    <row r="224" spans="1:12" s="26" customFormat="1" ht="30" customHeight="1">
      <c r="A224" s="10"/>
      <c r="B224" s="14"/>
      <c r="C224" s="22"/>
      <c r="D224" s="192" t="str">
        <f>"OGÓŁEM: "&amp;D211&amp;""</f>
        <v>OGÓŁEM: HYDROIZOLACJA</v>
      </c>
      <c r="E224" s="192"/>
      <c r="F224" s="192"/>
      <c r="G224" s="192"/>
      <c r="H224" s="53"/>
      <c r="I224" s="132"/>
      <c r="J224" s="132"/>
      <c r="L224" s="84"/>
    </row>
    <row r="225" spans="1:12" s="78" customFormat="1" ht="30" customHeight="1">
      <c r="A225" s="60" t="s">
        <v>455</v>
      </c>
      <c r="B225" s="60" t="s">
        <v>54</v>
      </c>
      <c r="C225" s="67"/>
      <c r="D225" s="60" t="s">
        <v>106</v>
      </c>
      <c r="E225" s="60" t="s">
        <v>21</v>
      </c>
      <c r="F225" s="54" t="s">
        <v>21</v>
      </c>
      <c r="G225" s="60" t="s">
        <v>21</v>
      </c>
      <c r="H225" s="60" t="s">
        <v>21</v>
      </c>
      <c r="I225" s="131"/>
      <c r="J225" s="131"/>
      <c r="L225" s="84"/>
    </row>
    <row r="226" spans="1:12" s="26" customFormat="1" ht="30" customHeight="1">
      <c r="A226" s="25">
        <f>A221+1</f>
        <v>47</v>
      </c>
      <c r="B226" s="10" t="s">
        <v>317</v>
      </c>
      <c r="C226" s="24" t="s">
        <v>42</v>
      </c>
      <c r="D226" s="28" t="s">
        <v>318</v>
      </c>
      <c r="E226" s="25" t="s">
        <v>10</v>
      </c>
      <c r="F226" s="11">
        <f>F228</f>
        <v>41.2</v>
      </c>
      <c r="G226" s="14"/>
      <c r="H226" s="14"/>
      <c r="I226" s="133"/>
      <c r="J226" s="133"/>
      <c r="L226" s="84"/>
    </row>
    <row r="227" spans="1:13" s="26" customFormat="1" ht="30" customHeight="1">
      <c r="A227" s="25"/>
      <c r="B227" s="10"/>
      <c r="C227" s="24"/>
      <c r="D227" s="28" t="s">
        <v>319</v>
      </c>
      <c r="E227" s="25"/>
      <c r="F227" s="11"/>
      <c r="G227" s="14"/>
      <c r="H227" s="14"/>
      <c r="I227" s="133"/>
      <c r="J227" s="133"/>
      <c r="L227" s="84" t="s">
        <v>134</v>
      </c>
      <c r="M227" s="26">
        <f>25*2</f>
        <v>50</v>
      </c>
    </row>
    <row r="228" spans="1:13" s="26" customFormat="1" ht="30" customHeight="1">
      <c r="A228" s="25"/>
      <c r="B228" s="10"/>
      <c r="C228" s="24"/>
      <c r="D228" s="15" t="s">
        <v>429</v>
      </c>
      <c r="E228" s="25" t="s">
        <v>10</v>
      </c>
      <c r="F228" s="11">
        <f>20.6*2</f>
        <v>41.2</v>
      </c>
      <c r="G228" s="14"/>
      <c r="H228" s="14"/>
      <c r="I228" s="133"/>
      <c r="J228" s="133"/>
      <c r="L228" s="26" t="s">
        <v>323</v>
      </c>
      <c r="M228" s="26">
        <v>51.4</v>
      </c>
    </row>
    <row r="229" spans="1:12" s="26" customFormat="1" ht="30" customHeight="1">
      <c r="A229" s="25">
        <f>A226+1</f>
        <v>48</v>
      </c>
      <c r="B229" s="10" t="s">
        <v>317</v>
      </c>
      <c r="C229" s="24" t="s">
        <v>76</v>
      </c>
      <c r="D229" s="28" t="s">
        <v>320</v>
      </c>
      <c r="E229" s="25" t="s">
        <v>12</v>
      </c>
      <c r="F229" s="11">
        <f>F231</f>
        <v>2106</v>
      </c>
      <c r="G229" s="14"/>
      <c r="H229" s="14"/>
      <c r="I229" s="133"/>
      <c r="J229" s="133"/>
      <c r="L229" s="84"/>
    </row>
    <row r="230" spans="1:12" s="26" customFormat="1" ht="25.5">
      <c r="A230" s="25"/>
      <c r="B230" s="10"/>
      <c r="C230" s="24"/>
      <c r="D230" s="28" t="s">
        <v>426</v>
      </c>
      <c r="E230" s="25"/>
      <c r="F230" s="11"/>
      <c r="G230" s="14"/>
      <c r="H230" s="14"/>
      <c r="I230" s="133"/>
      <c r="J230" s="133"/>
      <c r="L230" s="84"/>
    </row>
    <row r="231" spans="1:12" s="26" customFormat="1" ht="30" customHeight="1">
      <c r="A231" s="25"/>
      <c r="B231" s="10"/>
      <c r="C231" s="24"/>
      <c r="D231" s="123" t="s">
        <v>427</v>
      </c>
      <c r="E231" s="25" t="s">
        <v>12</v>
      </c>
      <c r="F231" s="11">
        <v>2106</v>
      </c>
      <c r="G231" s="16"/>
      <c r="H231" s="16"/>
      <c r="I231" s="134"/>
      <c r="J231" s="134"/>
      <c r="L231" s="84"/>
    </row>
    <row r="232" spans="1:12" s="26" customFormat="1" ht="25.5">
      <c r="A232" s="25">
        <f>A229+1</f>
        <v>49</v>
      </c>
      <c r="B232" s="10" t="s">
        <v>317</v>
      </c>
      <c r="C232" s="24" t="s">
        <v>321</v>
      </c>
      <c r="D232" s="28" t="s">
        <v>322</v>
      </c>
      <c r="E232" s="25" t="s">
        <v>10</v>
      </c>
      <c r="F232" s="11">
        <f>F233</f>
        <v>55.8</v>
      </c>
      <c r="G232" s="16"/>
      <c r="H232" s="16"/>
      <c r="I232" s="134"/>
      <c r="J232" s="134"/>
      <c r="L232" s="84"/>
    </row>
    <row r="233" spans="1:12" s="26" customFormat="1" ht="30" customHeight="1">
      <c r="A233" s="25"/>
      <c r="B233" s="10"/>
      <c r="C233" s="24"/>
      <c r="D233" s="15" t="s">
        <v>428</v>
      </c>
      <c r="E233" s="25" t="s">
        <v>10</v>
      </c>
      <c r="F233" s="11">
        <v>55.8</v>
      </c>
      <c r="G233" s="16"/>
      <c r="H233" s="16"/>
      <c r="I233" s="134"/>
      <c r="J233" s="134"/>
      <c r="L233" s="84"/>
    </row>
    <row r="234" spans="1:12" s="26" customFormat="1" ht="30" customHeight="1">
      <c r="A234" s="10"/>
      <c r="B234" s="14"/>
      <c r="C234" s="22"/>
      <c r="D234" s="192" t="str">
        <f>"OGÓŁEM: "&amp;D225&amp;""</f>
        <v>OGÓŁEM: WYPOSAŻENIE</v>
      </c>
      <c r="E234" s="192"/>
      <c r="F234" s="192"/>
      <c r="G234" s="192"/>
      <c r="H234" s="53"/>
      <c r="I234" s="132"/>
      <c r="J234" s="132"/>
      <c r="L234" s="84"/>
    </row>
    <row r="235" spans="1:13" s="78" customFormat="1" ht="30" customHeight="1">
      <c r="A235" s="60" t="s">
        <v>456</v>
      </c>
      <c r="B235" s="60" t="s">
        <v>6</v>
      </c>
      <c r="C235" s="67"/>
      <c r="D235" s="60" t="s">
        <v>27</v>
      </c>
      <c r="E235" s="60" t="s">
        <v>21</v>
      </c>
      <c r="F235" s="54" t="s">
        <v>21</v>
      </c>
      <c r="G235" s="60" t="s">
        <v>21</v>
      </c>
      <c r="H235" s="60" t="s">
        <v>21</v>
      </c>
      <c r="I235" s="131"/>
      <c r="J235" s="131"/>
      <c r="L235" s="84" t="s">
        <v>192</v>
      </c>
      <c r="M235" s="78">
        <v>2</v>
      </c>
    </row>
    <row r="236" spans="1:12" s="26" customFormat="1" ht="30" customHeight="1">
      <c r="A236" s="14" t="s">
        <v>21</v>
      </c>
      <c r="B236" s="14" t="s">
        <v>190</v>
      </c>
      <c r="C236" s="22"/>
      <c r="D236" s="23" t="s">
        <v>191</v>
      </c>
      <c r="E236" s="14" t="s">
        <v>21</v>
      </c>
      <c r="F236" s="27" t="s">
        <v>21</v>
      </c>
      <c r="G236" s="16"/>
      <c r="H236" s="16"/>
      <c r="I236" s="134"/>
      <c r="J236" s="134"/>
      <c r="L236" s="84"/>
    </row>
    <row r="237" spans="1:13" s="26" customFormat="1" ht="25.5">
      <c r="A237" s="10">
        <f>A232+1</f>
        <v>50</v>
      </c>
      <c r="B237" s="10" t="s">
        <v>190</v>
      </c>
      <c r="C237" s="24" t="s">
        <v>129</v>
      </c>
      <c r="D237" s="15" t="s">
        <v>199</v>
      </c>
      <c r="E237" s="25" t="s">
        <v>10</v>
      </c>
      <c r="F237" s="16">
        <f>F239</f>
        <v>18</v>
      </c>
      <c r="G237" s="16"/>
      <c r="H237" s="16"/>
      <c r="I237" s="134"/>
      <c r="J237" s="134"/>
      <c r="L237" s="84" t="s">
        <v>193</v>
      </c>
      <c r="M237" s="26">
        <v>9</v>
      </c>
    </row>
    <row r="238" spans="1:12" s="26" customFormat="1" ht="38.25">
      <c r="A238" s="10"/>
      <c r="B238" s="10"/>
      <c r="C238" s="24"/>
      <c r="D238" s="15" t="s">
        <v>430</v>
      </c>
      <c r="E238" s="25"/>
      <c r="F238" s="16"/>
      <c r="G238" s="16"/>
      <c r="H238" s="16"/>
      <c r="I238" s="134"/>
      <c r="J238" s="134"/>
      <c r="L238" s="84"/>
    </row>
    <row r="239" spans="1:12" s="26" customFormat="1" ht="30" customHeight="1">
      <c r="A239" s="10"/>
      <c r="B239" s="10"/>
      <c r="C239" s="24"/>
      <c r="D239" s="15" t="str">
        <f>""&amp;M237&amp;"x"&amp;M235&amp;""</f>
        <v>9x2</v>
      </c>
      <c r="E239" s="25" t="s">
        <v>10</v>
      </c>
      <c r="F239" s="16">
        <f>M237*M235</f>
        <v>18</v>
      </c>
      <c r="G239" s="16"/>
      <c r="H239" s="16"/>
      <c r="I239" s="134"/>
      <c r="J239" s="134"/>
      <c r="L239" s="84"/>
    </row>
    <row r="240" spans="1:12" s="26" customFormat="1" ht="30" customHeight="1">
      <c r="A240" s="10"/>
      <c r="B240" s="14"/>
      <c r="C240" s="22"/>
      <c r="D240" s="192" t="str">
        <f>"OGÓŁEM: "&amp;D235&amp;""</f>
        <v>OGÓŁEM: ROBOTY PRZYOBIEKTOWE</v>
      </c>
      <c r="E240" s="192"/>
      <c r="F240" s="192"/>
      <c r="G240" s="192"/>
      <c r="H240" s="16"/>
      <c r="I240" s="134"/>
      <c r="J240" s="134"/>
      <c r="L240" s="84"/>
    </row>
    <row r="241" spans="1:13" s="26" customFormat="1" ht="30" customHeight="1">
      <c r="A241" s="60" t="s">
        <v>457</v>
      </c>
      <c r="B241" s="60" t="s">
        <v>232</v>
      </c>
      <c r="C241" s="60"/>
      <c r="D241" s="60" t="s">
        <v>233</v>
      </c>
      <c r="E241" s="60" t="s">
        <v>21</v>
      </c>
      <c r="F241" s="54" t="s">
        <v>21</v>
      </c>
      <c r="G241" s="16"/>
      <c r="H241" s="16"/>
      <c r="I241" s="134"/>
      <c r="J241" s="134"/>
      <c r="L241" s="100"/>
      <c r="M241" s="100"/>
    </row>
    <row r="242" spans="1:14" s="26" customFormat="1" ht="30" customHeight="1">
      <c r="A242" s="14" t="s">
        <v>21</v>
      </c>
      <c r="B242" s="14" t="s">
        <v>0</v>
      </c>
      <c r="C242" s="22"/>
      <c r="D242" s="23" t="s">
        <v>1</v>
      </c>
      <c r="E242" s="14" t="s">
        <v>21</v>
      </c>
      <c r="F242" s="27" t="s">
        <v>21</v>
      </c>
      <c r="G242" s="14" t="s">
        <v>21</v>
      </c>
      <c r="H242" s="14" t="s">
        <v>21</v>
      </c>
      <c r="I242" s="133"/>
      <c r="J242" s="133"/>
      <c r="L242" s="84" t="s">
        <v>134</v>
      </c>
      <c r="M242" s="26">
        <v>15</v>
      </c>
      <c r="N242" s="26">
        <v>20</v>
      </c>
    </row>
    <row r="243" spans="1:13" s="26" customFormat="1" ht="30" customHeight="1">
      <c r="A243" s="10">
        <f>A237+1</f>
        <v>51</v>
      </c>
      <c r="B243" s="10" t="s">
        <v>0</v>
      </c>
      <c r="C243" s="10" t="s">
        <v>42</v>
      </c>
      <c r="D243" s="15" t="s">
        <v>234</v>
      </c>
      <c r="E243" s="25" t="s">
        <v>231</v>
      </c>
      <c r="F243" s="16">
        <f>F245</f>
        <v>87.5</v>
      </c>
      <c r="G243" s="14"/>
      <c r="H243" s="14"/>
      <c r="I243" s="133"/>
      <c r="J243" s="133"/>
      <c r="L243" s="84" t="s">
        <v>324</v>
      </c>
      <c r="M243" s="26">
        <v>2.5</v>
      </c>
    </row>
    <row r="244" spans="1:12" s="26" customFormat="1" ht="66" customHeight="1">
      <c r="A244" s="10"/>
      <c r="B244" s="10"/>
      <c r="C244" s="15"/>
      <c r="D244" s="15" t="s">
        <v>235</v>
      </c>
      <c r="E244" s="25"/>
      <c r="F244" s="16"/>
      <c r="G244" s="14"/>
      <c r="H244" s="14"/>
      <c r="I244" s="133"/>
      <c r="J244" s="133"/>
      <c r="L244" s="84"/>
    </row>
    <row r="245" spans="1:12" s="26" customFormat="1" ht="30" customHeight="1">
      <c r="A245" s="10"/>
      <c r="B245" s="10"/>
      <c r="C245" s="24"/>
      <c r="D245" s="15" t="str">
        <f>"("&amp;M242&amp;"+"&amp;N242&amp;")x"&amp;M243&amp;""</f>
        <v>(15+20)x2,5</v>
      </c>
      <c r="E245" s="25" t="s">
        <v>112</v>
      </c>
      <c r="F245" s="16">
        <f>(M242+N242)*M243</f>
        <v>87.5</v>
      </c>
      <c r="G245" s="14"/>
      <c r="H245" s="14"/>
      <c r="I245" s="133"/>
      <c r="J245" s="133"/>
      <c r="L245" s="84"/>
    </row>
    <row r="246" spans="1:12" s="26" customFormat="1" ht="30" customHeight="1">
      <c r="A246" s="10"/>
      <c r="B246" s="14"/>
      <c r="C246" s="22"/>
      <c r="D246" s="192" t="str">
        <f>"OGÓŁEM: "&amp;D241&amp;""</f>
        <v>OGÓŁEM: ROBOTY REGULACYJNE</v>
      </c>
      <c r="E246" s="192"/>
      <c r="F246" s="192"/>
      <c r="G246" s="192"/>
      <c r="H246" s="14"/>
      <c r="I246" s="133"/>
      <c r="J246" s="133"/>
      <c r="L246" s="84"/>
    </row>
    <row r="247" spans="1:12" s="78" customFormat="1" ht="30" customHeight="1">
      <c r="A247" s="60" t="s">
        <v>458</v>
      </c>
      <c r="B247" s="60" t="s">
        <v>64</v>
      </c>
      <c r="C247" s="67"/>
      <c r="D247" s="60" t="s">
        <v>65</v>
      </c>
      <c r="E247" s="60" t="s">
        <v>21</v>
      </c>
      <c r="F247" s="54" t="s">
        <v>21</v>
      </c>
      <c r="G247" s="60" t="s">
        <v>21</v>
      </c>
      <c r="H247" s="60" t="s">
        <v>21</v>
      </c>
      <c r="I247" s="131"/>
      <c r="J247" s="131"/>
      <c r="L247" s="84"/>
    </row>
    <row r="248" spans="1:12" s="26" customFormat="1" ht="30" customHeight="1">
      <c r="A248" s="14" t="s">
        <v>21</v>
      </c>
      <c r="B248" s="14" t="s">
        <v>70</v>
      </c>
      <c r="C248" s="10"/>
      <c r="D248" s="23" t="s">
        <v>325</v>
      </c>
      <c r="E248" s="14" t="s">
        <v>21</v>
      </c>
      <c r="F248" s="27" t="s">
        <v>21</v>
      </c>
      <c r="G248" s="14" t="s">
        <v>21</v>
      </c>
      <c r="H248" s="14" t="s">
        <v>21</v>
      </c>
      <c r="I248" s="133"/>
      <c r="J248" s="133"/>
      <c r="L248" s="84"/>
    </row>
    <row r="249" spans="1:12" s="26" customFormat="1" ht="30" customHeight="1">
      <c r="A249" s="10">
        <f>A243+1</f>
        <v>52</v>
      </c>
      <c r="B249" s="10" t="s">
        <v>70</v>
      </c>
      <c r="C249" s="10">
        <v>53</v>
      </c>
      <c r="D249" s="15" t="s">
        <v>431</v>
      </c>
      <c r="E249" s="25" t="s">
        <v>201</v>
      </c>
      <c r="F249" s="16">
        <f>F251</f>
        <v>17.5</v>
      </c>
      <c r="G249" s="16">
        <v>280</v>
      </c>
      <c r="H249" s="16">
        <f>IF(ROUND(F249*G249,2)=0," ",ROUND(F249*G249,2))</f>
        <v>4900</v>
      </c>
      <c r="I249" s="134"/>
      <c r="J249" s="134"/>
      <c r="L249" s="86"/>
    </row>
    <row r="250" spans="1:12" s="26" customFormat="1" ht="25.5">
      <c r="A250" s="10"/>
      <c r="B250" s="10"/>
      <c r="C250" s="10"/>
      <c r="D250" s="80" t="s">
        <v>432</v>
      </c>
      <c r="E250" s="81"/>
      <c r="F250" s="82"/>
      <c r="G250" s="16"/>
      <c r="H250" s="16"/>
      <c r="I250" s="134"/>
      <c r="J250" s="134"/>
      <c r="L250" s="84"/>
    </row>
    <row r="251" spans="1:12" s="26" customFormat="1" ht="30" customHeight="1">
      <c r="A251" s="10"/>
      <c r="B251" s="10"/>
      <c r="C251" s="24"/>
      <c r="D251" s="15" t="s">
        <v>433</v>
      </c>
      <c r="E251" s="25" t="s">
        <v>201</v>
      </c>
      <c r="F251" s="16">
        <v>17.5</v>
      </c>
      <c r="G251" s="10"/>
      <c r="H251" s="16"/>
      <c r="I251" s="134"/>
      <c r="J251" s="134"/>
      <c r="L251" s="84"/>
    </row>
    <row r="252" spans="1:12" s="26" customFormat="1" ht="25.5">
      <c r="A252" s="10"/>
      <c r="B252" s="10"/>
      <c r="C252" s="10"/>
      <c r="D252" s="15" t="s">
        <v>434</v>
      </c>
      <c r="E252" s="25" t="s">
        <v>201</v>
      </c>
      <c r="F252" s="82">
        <f>F251</f>
        <v>17.5</v>
      </c>
      <c r="G252" s="16"/>
      <c r="H252" s="16"/>
      <c r="I252" s="134"/>
      <c r="J252" s="134"/>
      <c r="L252" s="85"/>
    </row>
    <row r="253" spans="1:12" s="26" customFormat="1" ht="25.5">
      <c r="A253" s="10"/>
      <c r="B253" s="10"/>
      <c r="C253" s="10"/>
      <c r="D253" s="15" t="s">
        <v>435</v>
      </c>
      <c r="E253" s="25" t="s">
        <v>201</v>
      </c>
      <c r="F253" s="82">
        <f>F252</f>
        <v>17.5</v>
      </c>
      <c r="G253" s="16"/>
      <c r="H253" s="16"/>
      <c r="I253" s="134"/>
      <c r="J253" s="134"/>
      <c r="L253" s="85"/>
    </row>
    <row r="254" spans="1:12" s="26" customFormat="1" ht="30" customHeight="1">
      <c r="A254" s="25"/>
      <c r="B254" s="29"/>
      <c r="C254" s="30"/>
      <c r="D254" s="192" t="str">
        <f>"RAZEM: "&amp;D247&amp;""</f>
        <v>RAZEM: ROBOTY NAWIERZCHNIOWE I ZABEZPIECZAJĄCE</v>
      </c>
      <c r="E254" s="192"/>
      <c r="F254" s="192"/>
      <c r="G254" s="192"/>
      <c r="H254" s="53" t="e">
        <f>IF(SUM(H249,#REF!)=0," ",SUM(H249,#REF!))</f>
        <v>#REF!</v>
      </c>
      <c r="I254" s="132"/>
      <c r="J254" s="132"/>
      <c r="L254" s="84"/>
    </row>
    <row r="255" spans="1:12" s="26" customFormat="1" ht="30" customHeight="1">
      <c r="A255" s="195" t="str">
        <f>"OGÓŁEM: "&amp;B112&amp;""</f>
        <v>OGÓŁEM: ROBOTY MOSTOWE</v>
      </c>
      <c r="B255" s="195"/>
      <c r="C255" s="195"/>
      <c r="D255" s="195"/>
      <c r="E255" s="195"/>
      <c r="F255" s="195"/>
      <c r="G255" s="195"/>
      <c r="H255" s="54" t="e">
        <f>IF(SUM(H254,#REF!,#REF!,H223,#REF!,#REF!,#REF!,#REF!,#REF!,#REF!,#REF!,#REF!,#REF!)=0," ",SUM(H254,#REF!,#REF!,H223,#REF!,#REF!,#REF!,#REF!,#REF!,#REF!,#REF!,#REF!,#REF!))</f>
        <v>#REF!</v>
      </c>
      <c r="I255" s="135"/>
      <c r="J255" s="135"/>
      <c r="L255" s="84"/>
    </row>
    <row r="256" spans="1:12" s="26" customFormat="1" ht="40.5" customHeight="1">
      <c r="A256" s="191" t="str">
        <f>"RAZEM: "&amp;A3&amp;""</f>
        <v>RAZEM: REMONT MOSTU </v>
      </c>
      <c r="B256" s="191"/>
      <c r="C256" s="191"/>
      <c r="D256" s="191"/>
      <c r="E256" s="191"/>
      <c r="F256" s="191"/>
      <c r="G256" s="191"/>
      <c r="H256" s="55" t="e">
        <f>IF(SUM(#REF!,H255,#REF!)=0," ",(SUM(#REF!,H255,#REF!)))</f>
        <v>#REF!</v>
      </c>
      <c r="I256" s="137"/>
      <c r="J256" s="137"/>
      <c r="L256" s="87"/>
    </row>
    <row r="257" spans="1:12" s="26" customFormat="1" ht="30" customHeight="1">
      <c r="A257" s="191" t="s">
        <v>152</v>
      </c>
      <c r="B257" s="191"/>
      <c r="C257" s="191"/>
      <c r="D257" s="191"/>
      <c r="E257" s="191"/>
      <c r="F257" s="191"/>
      <c r="G257" s="191"/>
      <c r="H257" s="55" t="e">
        <f>H256*0.23</f>
        <v>#REF!</v>
      </c>
      <c r="I257" s="137"/>
      <c r="J257" s="137"/>
      <c r="L257" s="84"/>
    </row>
    <row r="258" spans="1:12" s="26" customFormat="1" ht="30" customHeight="1">
      <c r="A258" s="191" t="str">
        <f>"RAZEM: "&amp;A3&amp;""</f>
        <v>RAZEM: REMONT MOSTU </v>
      </c>
      <c r="B258" s="191"/>
      <c r="C258" s="191"/>
      <c r="D258" s="191"/>
      <c r="E258" s="191"/>
      <c r="F258" s="191"/>
      <c r="G258" s="191"/>
      <c r="H258" s="55" t="e">
        <f>H257+H256</f>
        <v>#REF!</v>
      </c>
      <c r="I258" s="137"/>
      <c r="J258" s="137"/>
      <c r="L258" s="84"/>
    </row>
    <row r="259" spans="1:12" s="26" customFormat="1" ht="30" customHeight="1">
      <c r="A259" s="31"/>
      <c r="B259" s="31"/>
      <c r="C259" s="32"/>
      <c r="D259" s="33"/>
      <c r="E259" s="34"/>
      <c r="F259" s="63"/>
      <c r="G259" s="35"/>
      <c r="H259" s="35"/>
      <c r="I259" s="35"/>
      <c r="J259" s="35"/>
      <c r="L259" s="84"/>
    </row>
    <row r="260" spans="1:12" s="26" customFormat="1" ht="30" customHeight="1">
      <c r="A260" s="31"/>
      <c r="B260" s="31"/>
      <c r="C260" s="32"/>
      <c r="D260" s="33"/>
      <c r="E260" s="34"/>
      <c r="F260" s="63"/>
      <c r="G260" s="35"/>
      <c r="H260" s="35"/>
      <c r="I260" s="35"/>
      <c r="J260" s="35"/>
      <c r="L260" s="84"/>
    </row>
    <row r="261" spans="1:12" s="26" customFormat="1" ht="30" customHeight="1">
      <c r="A261" s="31"/>
      <c r="B261" s="31"/>
      <c r="C261" s="32"/>
      <c r="D261" s="33"/>
      <c r="E261" s="34"/>
      <c r="F261" s="63"/>
      <c r="G261" s="35"/>
      <c r="H261" s="35"/>
      <c r="I261" s="35"/>
      <c r="J261" s="35"/>
      <c r="L261" s="84"/>
    </row>
    <row r="262" spans="1:12" s="34" customFormat="1" ht="30" customHeight="1">
      <c r="A262" s="31"/>
      <c r="B262" s="31"/>
      <c r="C262" s="32"/>
      <c r="D262" s="33"/>
      <c r="F262" s="63"/>
      <c r="G262" s="35"/>
      <c r="H262" s="35"/>
      <c r="I262" s="35"/>
      <c r="J262" s="35"/>
      <c r="L262" s="84"/>
    </row>
    <row r="263" spans="1:12" s="34" customFormat="1" ht="30" customHeight="1">
      <c r="A263" s="31"/>
      <c r="B263" s="31"/>
      <c r="C263" s="32"/>
      <c r="D263" s="33"/>
      <c r="F263" s="63"/>
      <c r="G263" s="35"/>
      <c r="H263" s="35"/>
      <c r="I263" s="35"/>
      <c r="J263" s="35"/>
      <c r="L263" s="84"/>
    </row>
    <row r="264" spans="1:12" s="34" customFormat="1" ht="30" customHeight="1">
      <c r="A264" s="31"/>
      <c r="B264" s="31"/>
      <c r="C264" s="32"/>
      <c r="D264" s="33"/>
      <c r="F264" s="63"/>
      <c r="G264" s="35"/>
      <c r="H264" s="35"/>
      <c r="I264" s="35"/>
      <c r="J264" s="35"/>
      <c r="L264" s="84"/>
    </row>
    <row r="265" spans="1:12" s="34" customFormat="1" ht="54.75" customHeight="1">
      <c r="A265" s="31"/>
      <c r="B265" s="31"/>
      <c r="C265" s="32"/>
      <c r="D265" s="33"/>
      <c r="F265" s="63"/>
      <c r="G265" s="35"/>
      <c r="H265" s="35"/>
      <c r="I265" s="35"/>
      <c r="J265" s="35"/>
      <c r="L265" s="84"/>
    </row>
    <row r="266" spans="1:12" s="34" customFormat="1" ht="30" customHeight="1">
      <c r="A266" s="31"/>
      <c r="B266" s="31"/>
      <c r="C266" s="32"/>
      <c r="D266" s="33"/>
      <c r="F266" s="63"/>
      <c r="G266" s="35"/>
      <c r="H266" s="35"/>
      <c r="I266" s="35"/>
      <c r="J266" s="35"/>
      <c r="L266" s="84"/>
    </row>
    <row r="267" spans="1:12" s="34" customFormat="1" ht="30" customHeight="1">
      <c r="A267" s="31"/>
      <c r="B267" s="31"/>
      <c r="C267" s="32"/>
      <c r="D267" s="33"/>
      <c r="F267" s="63"/>
      <c r="G267" s="35"/>
      <c r="H267" s="35"/>
      <c r="I267" s="35"/>
      <c r="J267" s="35"/>
      <c r="L267" s="84"/>
    </row>
    <row r="268" spans="1:12" s="34" customFormat="1" ht="39.75" customHeight="1">
      <c r="A268" s="31"/>
      <c r="B268" s="31"/>
      <c r="C268" s="32"/>
      <c r="D268" s="33"/>
      <c r="F268" s="63"/>
      <c r="G268" s="35"/>
      <c r="H268" s="35"/>
      <c r="I268" s="35"/>
      <c r="J268" s="35"/>
      <c r="L268" s="84"/>
    </row>
    <row r="269" spans="1:12" s="34" customFormat="1" ht="30" customHeight="1">
      <c r="A269" s="31"/>
      <c r="B269" s="31"/>
      <c r="C269" s="32"/>
      <c r="D269" s="33"/>
      <c r="F269" s="63"/>
      <c r="G269" s="35"/>
      <c r="H269" s="35"/>
      <c r="I269" s="35"/>
      <c r="J269" s="35"/>
      <c r="L269" s="84"/>
    </row>
    <row r="270" spans="1:12" s="34" customFormat="1" ht="30" customHeight="1">
      <c r="A270" s="31"/>
      <c r="B270" s="31"/>
      <c r="C270" s="32"/>
      <c r="D270" s="33"/>
      <c r="F270" s="63"/>
      <c r="G270" s="35"/>
      <c r="H270" s="35"/>
      <c r="I270" s="35"/>
      <c r="J270" s="35"/>
      <c r="L270" s="84"/>
    </row>
    <row r="271" spans="1:12" s="34" customFormat="1" ht="30" customHeight="1">
      <c r="A271" s="31"/>
      <c r="B271" s="31"/>
      <c r="C271" s="32"/>
      <c r="D271" s="33"/>
      <c r="F271" s="63"/>
      <c r="G271" s="35"/>
      <c r="H271" s="35"/>
      <c r="I271" s="35"/>
      <c r="J271" s="35"/>
      <c r="L271" s="84"/>
    </row>
    <row r="272" spans="1:12" s="34" customFormat="1" ht="56.25" customHeight="1">
      <c r="A272" s="31"/>
      <c r="B272" s="31"/>
      <c r="C272" s="32"/>
      <c r="D272" s="33"/>
      <c r="F272" s="63"/>
      <c r="G272" s="35"/>
      <c r="H272" s="35"/>
      <c r="I272" s="35"/>
      <c r="J272" s="35"/>
      <c r="L272" s="84"/>
    </row>
    <row r="273" spans="1:12" s="34" customFormat="1" ht="30" customHeight="1">
      <c r="A273" s="31"/>
      <c r="B273" s="31"/>
      <c r="C273" s="32"/>
      <c r="D273" s="33"/>
      <c r="F273" s="63"/>
      <c r="G273" s="35"/>
      <c r="H273" s="35"/>
      <c r="I273" s="35"/>
      <c r="J273" s="35"/>
      <c r="L273" s="84"/>
    </row>
    <row r="274" spans="1:12" s="34" customFormat="1" ht="30" customHeight="1">
      <c r="A274" s="31"/>
      <c r="B274" s="31"/>
      <c r="C274" s="32"/>
      <c r="D274" s="33"/>
      <c r="F274" s="63"/>
      <c r="G274" s="35"/>
      <c r="H274" s="35"/>
      <c r="I274" s="35"/>
      <c r="J274" s="35"/>
      <c r="L274" s="84"/>
    </row>
    <row r="275" spans="1:12" s="34" customFormat="1" ht="30" customHeight="1">
      <c r="A275" s="31"/>
      <c r="B275" s="31"/>
      <c r="C275" s="32"/>
      <c r="D275" s="33"/>
      <c r="F275" s="63"/>
      <c r="G275" s="35"/>
      <c r="H275" s="35"/>
      <c r="I275" s="35"/>
      <c r="J275" s="35"/>
      <c r="L275" s="84"/>
    </row>
    <row r="276" spans="1:12" s="34" customFormat="1" ht="30" customHeight="1">
      <c r="A276" s="31"/>
      <c r="B276" s="31"/>
      <c r="C276" s="32"/>
      <c r="D276" s="33"/>
      <c r="F276" s="63"/>
      <c r="G276" s="35"/>
      <c r="H276" s="35"/>
      <c r="I276" s="35"/>
      <c r="J276" s="35"/>
      <c r="L276" s="84"/>
    </row>
    <row r="277" spans="1:12" s="34" customFormat="1" ht="30" customHeight="1">
      <c r="A277" s="31"/>
      <c r="B277" s="31"/>
      <c r="C277" s="32"/>
      <c r="D277" s="33"/>
      <c r="F277" s="63"/>
      <c r="G277" s="35"/>
      <c r="H277" s="35"/>
      <c r="I277" s="35"/>
      <c r="J277" s="35"/>
      <c r="L277" s="84"/>
    </row>
    <row r="278" spans="1:12" s="34" customFormat="1" ht="30" customHeight="1">
      <c r="A278" s="31"/>
      <c r="B278" s="31"/>
      <c r="C278" s="32"/>
      <c r="D278" s="33"/>
      <c r="F278" s="63"/>
      <c r="G278" s="35"/>
      <c r="H278" s="35"/>
      <c r="I278" s="35"/>
      <c r="J278" s="35"/>
      <c r="L278" s="84"/>
    </row>
    <row r="279" spans="1:12" s="34" customFormat="1" ht="30" customHeight="1">
      <c r="A279" s="31"/>
      <c r="B279" s="31"/>
      <c r="C279" s="32"/>
      <c r="D279" s="33"/>
      <c r="F279" s="63"/>
      <c r="G279" s="35"/>
      <c r="H279" s="35"/>
      <c r="I279" s="35"/>
      <c r="J279" s="35"/>
      <c r="L279" s="84"/>
    </row>
    <row r="280" spans="1:12" s="34" customFormat="1" ht="30" customHeight="1">
      <c r="A280" s="31"/>
      <c r="B280" s="31"/>
      <c r="C280" s="32"/>
      <c r="D280" s="33"/>
      <c r="F280" s="63"/>
      <c r="G280" s="35"/>
      <c r="H280" s="35"/>
      <c r="I280" s="35"/>
      <c r="J280" s="35"/>
      <c r="L280" s="84"/>
    </row>
    <row r="281" spans="1:12" s="34" customFormat="1" ht="30" customHeight="1">
      <c r="A281" s="36"/>
      <c r="B281" s="36"/>
      <c r="C281" s="37"/>
      <c r="D281" s="38"/>
      <c r="E281" s="17"/>
      <c r="F281" s="64"/>
      <c r="G281" s="39"/>
      <c r="H281" s="39"/>
      <c r="I281" s="39"/>
      <c r="J281" s="39"/>
      <c r="L281" s="84"/>
    </row>
    <row r="282" spans="1:12" s="34" customFormat="1" ht="30" customHeight="1">
      <c r="A282" s="36"/>
      <c r="B282" s="36"/>
      <c r="C282" s="37"/>
      <c r="D282" s="38"/>
      <c r="E282" s="17"/>
      <c r="F282" s="64"/>
      <c r="G282" s="39"/>
      <c r="H282" s="39"/>
      <c r="I282" s="39"/>
      <c r="J282" s="39"/>
      <c r="L282" s="84"/>
    </row>
    <row r="283" spans="1:12" s="34" customFormat="1" ht="30" customHeight="1">
      <c r="A283" s="36"/>
      <c r="B283" s="36"/>
      <c r="C283" s="37"/>
      <c r="D283" s="38"/>
      <c r="E283" s="17"/>
      <c r="F283" s="64"/>
      <c r="G283" s="39"/>
      <c r="H283" s="39"/>
      <c r="I283" s="39"/>
      <c r="J283" s="39"/>
      <c r="L283" s="84"/>
    </row>
    <row r="284" spans="1:12" s="34" customFormat="1" ht="30" customHeight="1">
      <c r="A284" s="36"/>
      <c r="B284" s="36"/>
      <c r="C284" s="37"/>
      <c r="D284" s="38"/>
      <c r="E284" s="17"/>
      <c r="F284" s="64"/>
      <c r="G284" s="39"/>
      <c r="H284" s="39"/>
      <c r="I284" s="39"/>
      <c r="J284" s="39"/>
      <c r="L284" s="84"/>
    </row>
    <row r="285" spans="1:12" s="34" customFormat="1" ht="30" customHeight="1">
      <c r="A285" s="36"/>
      <c r="B285" s="36"/>
      <c r="C285" s="37"/>
      <c r="D285" s="38"/>
      <c r="E285" s="17"/>
      <c r="F285" s="64"/>
      <c r="G285" s="39"/>
      <c r="H285" s="39"/>
      <c r="I285" s="39"/>
      <c r="J285" s="39"/>
      <c r="L285" s="84"/>
    </row>
    <row r="286" spans="1:12" s="34" customFormat="1" ht="30" customHeight="1">
      <c r="A286" s="36"/>
      <c r="B286" s="36"/>
      <c r="C286" s="37"/>
      <c r="D286" s="38"/>
      <c r="E286" s="17"/>
      <c r="F286" s="64"/>
      <c r="G286" s="39"/>
      <c r="H286" s="39"/>
      <c r="I286" s="39"/>
      <c r="J286" s="39"/>
      <c r="L286" s="84"/>
    </row>
    <row r="287" spans="1:12" s="34" customFormat="1" ht="30" customHeight="1">
      <c r="A287" s="36"/>
      <c r="B287" s="36"/>
      <c r="C287" s="37"/>
      <c r="D287" s="38"/>
      <c r="E287" s="17"/>
      <c r="F287" s="64"/>
      <c r="G287" s="39"/>
      <c r="H287" s="39"/>
      <c r="I287" s="39"/>
      <c r="J287" s="39"/>
      <c r="L287" s="84"/>
    </row>
    <row r="288" spans="1:12" s="34" customFormat="1" ht="30" customHeight="1">
      <c r="A288" s="36"/>
      <c r="B288" s="36"/>
      <c r="C288" s="37"/>
      <c r="D288" s="38"/>
      <c r="E288" s="17"/>
      <c r="F288" s="64"/>
      <c r="G288" s="39"/>
      <c r="H288" s="39"/>
      <c r="I288" s="39"/>
      <c r="J288" s="39"/>
      <c r="L288" s="84"/>
    </row>
    <row r="289" spans="1:12" s="34" customFormat="1" ht="30" customHeight="1">
      <c r="A289" s="36"/>
      <c r="B289" s="36"/>
      <c r="C289" s="37"/>
      <c r="D289" s="38"/>
      <c r="E289" s="17"/>
      <c r="F289" s="64"/>
      <c r="G289" s="39"/>
      <c r="H289" s="39"/>
      <c r="I289" s="39"/>
      <c r="J289" s="39"/>
      <c r="L289" s="84"/>
    </row>
    <row r="290" spans="1:12" s="34" customFormat="1" ht="30" customHeight="1">
      <c r="A290" s="36"/>
      <c r="B290" s="36"/>
      <c r="C290" s="37"/>
      <c r="D290" s="38"/>
      <c r="E290" s="17"/>
      <c r="F290" s="64"/>
      <c r="G290" s="39"/>
      <c r="H290" s="39"/>
      <c r="I290" s="39"/>
      <c r="J290" s="39"/>
      <c r="L290" s="84"/>
    </row>
    <row r="291" spans="1:12" s="34" customFormat="1" ht="30" customHeight="1">
      <c r="A291" s="36"/>
      <c r="B291" s="36"/>
      <c r="C291" s="37"/>
      <c r="D291" s="38"/>
      <c r="E291" s="17"/>
      <c r="F291" s="64"/>
      <c r="G291" s="39"/>
      <c r="H291" s="39"/>
      <c r="I291" s="39"/>
      <c r="J291" s="39"/>
      <c r="L291" s="84"/>
    </row>
    <row r="292" spans="1:12" s="34" customFormat="1" ht="30" customHeight="1">
      <c r="A292" s="36"/>
      <c r="B292" s="36"/>
      <c r="C292" s="37"/>
      <c r="D292" s="38"/>
      <c r="E292" s="17"/>
      <c r="F292" s="64"/>
      <c r="G292" s="39"/>
      <c r="H292" s="39"/>
      <c r="I292" s="39"/>
      <c r="J292" s="39"/>
      <c r="L292" s="84"/>
    </row>
    <row r="293" spans="1:12" s="34" customFormat="1" ht="30" customHeight="1">
      <c r="A293" s="36"/>
      <c r="B293" s="36"/>
      <c r="C293" s="37"/>
      <c r="D293" s="38"/>
      <c r="E293" s="17"/>
      <c r="F293" s="64"/>
      <c r="G293" s="39"/>
      <c r="H293" s="39"/>
      <c r="I293" s="39"/>
      <c r="J293" s="39"/>
      <c r="L293" s="84"/>
    </row>
    <row r="294" spans="1:12" s="34" customFormat="1" ht="30" customHeight="1">
      <c r="A294" s="36"/>
      <c r="B294" s="36"/>
      <c r="C294" s="37"/>
      <c r="D294" s="38"/>
      <c r="E294" s="17"/>
      <c r="F294" s="64"/>
      <c r="G294" s="39"/>
      <c r="H294" s="39"/>
      <c r="I294" s="39"/>
      <c r="J294" s="39"/>
      <c r="L294" s="84"/>
    </row>
    <row r="295" spans="1:12" s="34" customFormat="1" ht="30" customHeight="1">
      <c r="A295" s="36"/>
      <c r="B295" s="36"/>
      <c r="C295" s="37"/>
      <c r="D295" s="38"/>
      <c r="E295" s="17"/>
      <c r="F295" s="64"/>
      <c r="G295" s="39"/>
      <c r="H295" s="39"/>
      <c r="I295" s="39"/>
      <c r="J295" s="39"/>
      <c r="L295" s="84"/>
    </row>
    <row r="296" spans="1:12" s="34" customFormat="1" ht="30" customHeight="1">
      <c r="A296" s="36"/>
      <c r="B296" s="36"/>
      <c r="C296" s="37"/>
      <c r="D296" s="38"/>
      <c r="E296" s="17"/>
      <c r="F296" s="64"/>
      <c r="G296" s="39"/>
      <c r="H296" s="39"/>
      <c r="I296" s="39"/>
      <c r="J296" s="39"/>
      <c r="L296" s="84"/>
    </row>
    <row r="297" spans="1:12" s="34" customFormat="1" ht="30" customHeight="1">
      <c r="A297" s="36"/>
      <c r="B297" s="36"/>
      <c r="C297" s="37"/>
      <c r="D297" s="38"/>
      <c r="E297" s="17"/>
      <c r="F297" s="64"/>
      <c r="G297" s="39"/>
      <c r="H297" s="39"/>
      <c r="I297" s="39"/>
      <c r="J297" s="39"/>
      <c r="L297" s="84"/>
    </row>
    <row r="298" spans="1:12" s="34" customFormat="1" ht="30" customHeight="1">
      <c r="A298" s="36"/>
      <c r="B298" s="36"/>
      <c r="C298" s="37"/>
      <c r="D298" s="38"/>
      <c r="E298" s="17"/>
      <c r="F298" s="64"/>
      <c r="G298" s="39"/>
      <c r="H298" s="39"/>
      <c r="I298" s="39"/>
      <c r="J298" s="39"/>
      <c r="L298" s="84"/>
    </row>
    <row r="299" spans="1:12" s="34" customFormat="1" ht="30" customHeight="1">
      <c r="A299" s="36"/>
      <c r="B299" s="36"/>
      <c r="C299" s="37"/>
      <c r="D299" s="38"/>
      <c r="E299" s="17"/>
      <c r="F299" s="64"/>
      <c r="G299" s="39"/>
      <c r="H299" s="39"/>
      <c r="I299" s="39"/>
      <c r="J299" s="39"/>
      <c r="L299" s="84"/>
    </row>
    <row r="300" spans="1:12" s="34" customFormat="1" ht="30" customHeight="1">
      <c r="A300" s="36"/>
      <c r="B300" s="36"/>
      <c r="C300" s="37"/>
      <c r="D300" s="38"/>
      <c r="E300" s="17"/>
      <c r="F300" s="64"/>
      <c r="G300" s="39"/>
      <c r="H300" s="39"/>
      <c r="I300" s="39"/>
      <c r="J300" s="39"/>
      <c r="L300" s="84"/>
    </row>
    <row r="301" spans="1:12" s="34" customFormat="1" ht="30" customHeight="1">
      <c r="A301" s="36"/>
      <c r="B301" s="36"/>
      <c r="C301" s="37"/>
      <c r="D301" s="38"/>
      <c r="E301" s="17"/>
      <c r="F301" s="64"/>
      <c r="G301" s="39"/>
      <c r="H301" s="39"/>
      <c r="I301" s="39"/>
      <c r="J301" s="39"/>
      <c r="L301" s="84"/>
    </row>
    <row r="302" spans="1:12" s="34" customFormat="1" ht="30" customHeight="1">
      <c r="A302" s="36"/>
      <c r="B302" s="36"/>
      <c r="C302" s="37"/>
      <c r="D302" s="38"/>
      <c r="E302" s="17"/>
      <c r="F302" s="64"/>
      <c r="G302" s="39"/>
      <c r="H302" s="39"/>
      <c r="I302" s="39"/>
      <c r="J302" s="39"/>
      <c r="L302" s="84"/>
    </row>
    <row r="303" spans="1:12" s="34" customFormat="1" ht="30" customHeight="1">
      <c r="A303" s="36"/>
      <c r="B303" s="36"/>
      <c r="C303" s="37"/>
      <c r="D303" s="38"/>
      <c r="E303" s="17"/>
      <c r="F303" s="64"/>
      <c r="G303" s="39"/>
      <c r="H303" s="39"/>
      <c r="I303" s="39"/>
      <c r="J303" s="39"/>
      <c r="L303" s="84"/>
    </row>
    <row r="304" spans="1:12" s="34" customFormat="1" ht="30" customHeight="1">
      <c r="A304" s="36"/>
      <c r="B304" s="36"/>
      <c r="C304" s="37"/>
      <c r="D304" s="38"/>
      <c r="E304" s="17"/>
      <c r="F304" s="64"/>
      <c r="G304" s="39"/>
      <c r="H304" s="39"/>
      <c r="I304" s="39"/>
      <c r="J304" s="39"/>
      <c r="L304" s="84"/>
    </row>
    <row r="305" spans="1:12" s="34" customFormat="1" ht="30" customHeight="1">
      <c r="A305" s="36"/>
      <c r="B305" s="36"/>
      <c r="C305" s="37"/>
      <c r="D305" s="38"/>
      <c r="E305" s="17"/>
      <c r="F305" s="64"/>
      <c r="G305" s="39"/>
      <c r="H305" s="39"/>
      <c r="I305" s="39"/>
      <c r="J305" s="39"/>
      <c r="L305" s="84"/>
    </row>
    <row r="306" spans="1:12" s="34" customFormat="1" ht="30" customHeight="1">
      <c r="A306" s="36"/>
      <c r="B306" s="36"/>
      <c r="C306" s="37"/>
      <c r="D306" s="38"/>
      <c r="E306" s="17"/>
      <c r="F306" s="64"/>
      <c r="G306" s="39"/>
      <c r="H306" s="39"/>
      <c r="I306" s="39"/>
      <c r="J306" s="39"/>
      <c r="L306" s="84"/>
    </row>
  </sheetData>
  <sheetProtection/>
  <mergeCells count="38">
    <mergeCell ref="D26:G26"/>
    <mergeCell ref="C5:C6"/>
    <mergeCell ref="H5:H6"/>
    <mergeCell ref="E5:F5"/>
    <mergeCell ref="G5:G6"/>
    <mergeCell ref="D5:D6"/>
    <mergeCell ref="B7:H7"/>
    <mergeCell ref="A1:H1"/>
    <mergeCell ref="A2:H2"/>
    <mergeCell ref="A3:H3"/>
    <mergeCell ref="A5:A6"/>
    <mergeCell ref="B5:B6"/>
    <mergeCell ref="D40:G40"/>
    <mergeCell ref="D67:G67"/>
    <mergeCell ref="D78:G78"/>
    <mergeCell ref="D101:G101"/>
    <mergeCell ref="A111:G111"/>
    <mergeCell ref="D127:G127"/>
    <mergeCell ref="D89:G89"/>
    <mergeCell ref="D110:G110"/>
    <mergeCell ref="D150:G150"/>
    <mergeCell ref="D165:G165"/>
    <mergeCell ref="D177:G177"/>
    <mergeCell ref="D188:G188"/>
    <mergeCell ref="B112:H112"/>
    <mergeCell ref="A255:G255"/>
    <mergeCell ref="D195:G195"/>
    <mergeCell ref="D201:G201"/>
    <mergeCell ref="D210:G210"/>
    <mergeCell ref="D224:G224"/>
    <mergeCell ref="A257:G257"/>
    <mergeCell ref="D240:G240"/>
    <mergeCell ref="D246:G246"/>
    <mergeCell ref="A258:G258"/>
    <mergeCell ref="D223:G223"/>
    <mergeCell ref="A256:G256"/>
    <mergeCell ref="D254:G254"/>
    <mergeCell ref="D234:G234"/>
  </mergeCells>
  <printOptions/>
  <pageMargins left="0.5905511811023623" right="0.1968503937007874" top="0.3937007874015748" bottom="0.3937007874015748" header="0.3937007874015748" footer="0.5118110236220472"/>
  <pageSetup firstPageNumber="4" useFirstPageNumber="1" fitToHeight="0" fitToWidth="1" horizontalDpi="300" verticalDpi="300" orientation="portrait" paperSize="9" scale="85" r:id="rId1"/>
  <rowBreaks count="6" manualBreakCount="6">
    <brk id="18" max="255" man="1"/>
    <brk id="56" max="255" man="1"/>
    <brk id="89" max="255" man="1"/>
    <brk id="120" max="255" man="1"/>
    <brk id="184" max="255" man="1"/>
    <brk id="2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I44"/>
  <sheetViews>
    <sheetView tabSelected="1" view="pageBreakPreview" zoomScale="80" zoomScaleSheetLayoutView="80" zoomScalePageLayoutView="0" workbookViewId="0" topLeftCell="A1">
      <selection activeCell="H18" sqref="H18"/>
    </sheetView>
  </sheetViews>
  <sheetFormatPr defaultColWidth="9.00390625" defaultRowHeight="12.75"/>
  <cols>
    <col min="1" max="2" width="9.125" style="1" customWidth="1"/>
    <col min="3" max="3" width="10.125" style="1" customWidth="1"/>
    <col min="4" max="4" width="14.125" style="1" customWidth="1"/>
    <col min="5" max="16384" width="9.125" style="1" customWidth="1"/>
  </cols>
  <sheetData>
    <row r="1" spans="1:2" ht="12.75">
      <c r="A1" s="162" t="s">
        <v>246</v>
      </c>
      <c r="B1" s="162"/>
    </row>
    <row r="2" spans="1:2" ht="12.75">
      <c r="A2" s="162" t="s">
        <v>248</v>
      </c>
      <c r="B2" s="162"/>
    </row>
    <row r="3" spans="1:2" ht="12.75">
      <c r="A3" s="162" t="s">
        <v>247</v>
      </c>
      <c r="B3" s="162"/>
    </row>
    <row r="4" spans="1:2" ht="12.75">
      <c r="A4" s="162" t="s">
        <v>250</v>
      </c>
      <c r="B4" s="162"/>
    </row>
    <row r="5" spans="1:2" ht="12.75">
      <c r="A5" s="163" t="s">
        <v>249</v>
      </c>
      <c r="B5" s="163"/>
    </row>
    <row r="9" spans="1:9" ht="26.25" customHeight="1">
      <c r="A9" s="161" t="s">
        <v>445</v>
      </c>
      <c r="B9" s="161"/>
      <c r="C9" s="161"/>
      <c r="D9" s="161"/>
      <c r="E9" s="161"/>
      <c r="F9" s="161"/>
      <c r="G9" s="161"/>
      <c r="H9" s="161"/>
      <c r="I9" s="161"/>
    </row>
    <row r="12" spans="1:9" ht="12.75" customHeight="1">
      <c r="A12" s="215"/>
      <c r="B12" s="215"/>
      <c r="C12" s="215"/>
      <c r="D12" s="215"/>
      <c r="E12" s="215"/>
      <c r="F12" s="215"/>
      <c r="G12" s="215"/>
      <c r="H12" s="3"/>
      <c r="I12" s="3"/>
    </row>
    <row r="13" spans="1:9" ht="12.75" customHeight="1">
      <c r="A13" s="214" t="str">
        <f>PRZEDMIAR!A2</f>
        <v>Remont mostu w ciągu drogi gminnej publicznej Nr G114536 w miejscowości Jaśliska w km 0+543</v>
      </c>
      <c r="B13" s="214"/>
      <c r="C13" s="214"/>
      <c r="D13" s="214"/>
      <c r="E13" s="214"/>
      <c r="F13" s="214"/>
      <c r="G13" s="214"/>
      <c r="H13" s="214"/>
      <c r="I13" s="214"/>
    </row>
    <row r="14" spans="1:9" ht="57.75" customHeight="1">
      <c r="A14" s="214"/>
      <c r="B14" s="214"/>
      <c r="C14" s="214"/>
      <c r="D14" s="214"/>
      <c r="E14" s="214"/>
      <c r="F14" s="214"/>
      <c r="G14" s="214"/>
      <c r="H14" s="214"/>
      <c r="I14" s="214"/>
    </row>
    <row r="15" spans="1:7" ht="20.25">
      <c r="A15" s="214"/>
      <c r="B15" s="214"/>
      <c r="C15" s="214"/>
      <c r="D15" s="214"/>
      <c r="E15" s="214"/>
      <c r="F15" s="214"/>
      <c r="G15" s="214"/>
    </row>
    <row r="18" spans="1:5" ht="19.5" customHeight="1">
      <c r="A18" s="4" t="s">
        <v>109</v>
      </c>
      <c r="D18" s="5" t="str">
        <f>ZESTAWIENIE!C30</f>
        <v> </v>
      </c>
      <c r="E18" s="1" t="s">
        <v>97</v>
      </c>
    </row>
    <row r="19" spans="1:8" ht="19.5" customHeight="1">
      <c r="A19" s="4" t="s">
        <v>98</v>
      </c>
      <c r="B19" s="208"/>
      <c r="C19" s="209"/>
      <c r="D19" s="209"/>
      <c r="E19" s="209"/>
      <c r="F19" s="209"/>
      <c r="G19" s="209"/>
      <c r="H19" s="210"/>
    </row>
    <row r="20" spans="2:8" ht="19.5" customHeight="1">
      <c r="B20" s="211"/>
      <c r="C20" s="212"/>
      <c r="D20" s="212"/>
      <c r="E20" s="212"/>
      <c r="F20" s="212"/>
      <c r="G20" s="212"/>
      <c r="H20" s="213"/>
    </row>
    <row r="21" ht="19.5" customHeight="1"/>
    <row r="23" spans="1:5" ht="19.5" customHeight="1">
      <c r="A23" s="4" t="s">
        <v>109</v>
      </c>
      <c r="D23" s="5" t="str">
        <f>ZESTAWIENIE!C32</f>
        <v> </v>
      </c>
      <c r="E23" s="1" t="s">
        <v>100</v>
      </c>
    </row>
    <row r="24" spans="1:8" ht="19.5" customHeight="1">
      <c r="A24" s="4" t="s">
        <v>98</v>
      </c>
      <c r="B24" s="208"/>
      <c r="C24" s="209"/>
      <c r="D24" s="209"/>
      <c r="E24" s="209"/>
      <c r="F24" s="209"/>
      <c r="G24" s="209"/>
      <c r="H24" s="210"/>
    </row>
    <row r="25" spans="2:8" ht="19.5" customHeight="1">
      <c r="B25" s="211"/>
      <c r="C25" s="212"/>
      <c r="D25" s="212"/>
      <c r="E25" s="212"/>
      <c r="F25" s="212"/>
      <c r="G25" s="212"/>
      <c r="H25" s="213"/>
    </row>
    <row r="26" ht="19.5" customHeight="1"/>
    <row r="31" ht="12.75">
      <c r="A31" s="4" t="s">
        <v>13</v>
      </c>
    </row>
    <row r="32" spans="6:7" ht="12.75">
      <c r="F32" s="4"/>
      <c r="G32" s="2"/>
    </row>
    <row r="36" spans="1:3" ht="12.75">
      <c r="A36" s="162" t="s">
        <v>206</v>
      </c>
      <c r="B36" s="162"/>
      <c r="C36" s="162"/>
    </row>
    <row r="37" spans="1:3" ht="12.75">
      <c r="A37" s="163" t="s">
        <v>14</v>
      </c>
      <c r="B37" s="163"/>
      <c r="C37" s="163"/>
    </row>
    <row r="44" ht="12.75">
      <c r="D44" s="1" t="s">
        <v>446</v>
      </c>
    </row>
  </sheetData>
  <sheetProtection/>
  <mergeCells count="13">
    <mergeCell ref="A3:B3"/>
    <mergeCell ref="A2:B2"/>
    <mergeCell ref="A1:B1"/>
    <mergeCell ref="A5:B5"/>
    <mergeCell ref="A9:I9"/>
    <mergeCell ref="A12:G12"/>
    <mergeCell ref="B24:H25"/>
    <mergeCell ref="A15:G15"/>
    <mergeCell ref="A13:I14"/>
    <mergeCell ref="A36:C36"/>
    <mergeCell ref="A37:C37"/>
    <mergeCell ref="A4:B4"/>
    <mergeCell ref="B19:H20"/>
  </mergeCells>
  <printOptions/>
  <pageMargins left="0.75" right="0.61" top="1" bottom="1" header="0.5" footer="0.5"/>
  <pageSetup orientation="portrait" paperSize="9" scale="98" r:id="rId1"/>
  <headerFooter alignWithMargins="0">
    <oddFooter>&amp;RStrona&amp;P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F32"/>
  <sheetViews>
    <sheetView view="pageBreakPreview" zoomScale="60" zoomScalePageLayoutView="0" workbookViewId="0" topLeftCell="A1">
      <selection activeCell="C31" sqref="C31"/>
    </sheetView>
  </sheetViews>
  <sheetFormatPr defaultColWidth="9.00390625" defaultRowHeight="12.75"/>
  <cols>
    <col min="1" max="1" width="8.375" style="7" bestFit="1" customWidth="1"/>
    <col min="2" max="2" width="57.25390625" style="7" customWidth="1"/>
    <col min="3" max="3" width="23.125" style="7" customWidth="1"/>
    <col min="4" max="4" width="9.75390625" style="7" customWidth="1"/>
    <col min="5" max="5" width="11.125" style="7" customWidth="1"/>
    <col min="6" max="6" width="12.75390625" style="7" customWidth="1"/>
    <col min="7" max="16384" width="9.125" style="7" customWidth="1"/>
  </cols>
  <sheetData>
    <row r="1" spans="1:6" ht="20.25">
      <c r="A1" s="217" t="str">
        <f>OKŁADKA_O!A9</f>
        <v>KOSZTORYS OFERTOWY</v>
      </c>
      <c r="B1" s="217"/>
      <c r="C1" s="217"/>
      <c r="D1" s="6"/>
      <c r="E1" s="6"/>
      <c r="F1" s="6"/>
    </row>
    <row r="2" ht="15.75" customHeight="1"/>
    <row r="3" spans="1:6" ht="20.25">
      <c r="A3" s="218" t="s">
        <v>15</v>
      </c>
      <c r="B3" s="218"/>
      <c r="C3" s="218"/>
      <c r="D3" s="6"/>
      <c r="E3" s="6"/>
      <c r="F3" s="6"/>
    </row>
    <row r="4" ht="15.75" customHeight="1"/>
    <row r="5" spans="1:6" ht="57.75" customHeight="1">
      <c r="A5" s="219" t="str">
        <f>OKŁADKA_O!A13</f>
        <v>Remont mostu w ciągu drogi gminnej publicznej Nr G114536 w miejscowości Jaśliska w km 0+543</v>
      </c>
      <c r="B5" s="219"/>
      <c r="C5" s="219"/>
      <c r="D5" s="8"/>
      <c r="E5" s="8"/>
      <c r="F5" s="8"/>
    </row>
    <row r="7" spans="1:3" s="9" customFormat="1" ht="36">
      <c r="A7" s="12" t="s">
        <v>110</v>
      </c>
      <c r="B7" s="12" t="s">
        <v>16</v>
      </c>
      <c r="C7" s="13" t="s">
        <v>17</v>
      </c>
    </row>
    <row r="8" spans="1:3" s="92" customFormat="1" ht="30" customHeight="1">
      <c r="A8" s="89">
        <f>OFERTOWY!A7</f>
        <v>1</v>
      </c>
      <c r="B8" s="93" t="str">
        <f>OFERTOWY!B7</f>
        <v>ROBOTY DROGOWE</v>
      </c>
      <c r="C8" s="91" t="str">
        <f>OFERTOWY!H111</f>
        <v> </v>
      </c>
    </row>
    <row r="9" spans="1:3" ht="30" customHeight="1">
      <c r="A9" s="83" t="str">
        <f>OFERTOWY!A8</f>
        <v>1.1</v>
      </c>
      <c r="B9" s="83" t="str">
        <f>OFERTOWY!D8</f>
        <v>ROBOTY PRZYGOTOWAWCZE</v>
      </c>
      <c r="C9" s="88" t="str">
        <f>OFERTOWY!H26</f>
        <v> </v>
      </c>
    </row>
    <row r="10" spans="1:3" ht="30" customHeight="1">
      <c r="A10" s="83" t="str">
        <f>OFERTOWY!A27</f>
        <v>1.2</v>
      </c>
      <c r="B10" s="83" t="str">
        <f>OFERTOWY!D27</f>
        <v>ROBOTY ZIEMNE</v>
      </c>
      <c r="C10" s="88" t="str">
        <f>OFERTOWY!H40</f>
        <v> </v>
      </c>
    </row>
    <row r="11" spans="1:3" ht="30" customHeight="1">
      <c r="A11" s="83" t="str">
        <f>OFERTOWY!A41</f>
        <v>1.3</v>
      </c>
      <c r="B11" s="83" t="str">
        <f>OFERTOWY!D41</f>
        <v>PODBUDOWY</v>
      </c>
      <c r="C11" s="88" t="str">
        <f>OFERTOWY!H69</f>
        <v> </v>
      </c>
    </row>
    <row r="12" spans="1:3" ht="30" customHeight="1">
      <c r="A12" s="83" t="str">
        <f>OFERTOWY!A70</f>
        <v>1.4</v>
      </c>
      <c r="B12" s="83" t="str">
        <f>OFERTOWY!D70</f>
        <v>NAWIERZCHNIE</v>
      </c>
      <c r="C12" s="88" t="str">
        <f>OFERTOWY!H78</f>
        <v> </v>
      </c>
    </row>
    <row r="13" spans="1:3" ht="30" customHeight="1">
      <c r="A13" s="83" t="str">
        <f>OFERTOWY!A79</f>
        <v>1.5</v>
      </c>
      <c r="B13" s="83" t="str">
        <f>OFERTOWY!D79</f>
        <v>ROBOTY WYKOŃCZENIOWE</v>
      </c>
      <c r="C13" s="88" t="str">
        <f>OFERTOWY!H89</f>
        <v> </v>
      </c>
    </row>
    <row r="14" spans="1:3" ht="30" customHeight="1">
      <c r="A14" s="83" t="str">
        <f>OFERTOWY!A90</f>
        <v>1.6</v>
      </c>
      <c r="B14" s="83" t="str">
        <f>OFERTOWY!D90</f>
        <v>OZNAKOWANIE I URZĄDZENIA BEZPIECZEŃSTWA RUCHU</v>
      </c>
      <c r="C14" s="88" t="str">
        <f>OFERTOWY!H101</f>
        <v> </v>
      </c>
    </row>
    <row r="15" spans="1:3" ht="30" customHeight="1">
      <c r="A15" s="83" t="str">
        <f>OFERTOWY!A102</f>
        <v>1.7</v>
      </c>
      <c r="B15" s="83" t="str">
        <f>OFERTOWY!D102</f>
        <v>ELEMENTY ULIC</v>
      </c>
      <c r="C15" s="88" t="str">
        <f>OFERTOWY!H110</f>
        <v> </v>
      </c>
    </row>
    <row r="16" spans="1:3" s="92" customFormat="1" ht="30" customHeight="1">
      <c r="A16" s="89" t="str">
        <f>OFERTOWY!A112</f>
        <v>2.</v>
      </c>
      <c r="B16" s="90" t="str">
        <f>OFERTOWY!B112</f>
        <v>ROBOTY MOSTOWE</v>
      </c>
      <c r="C16" s="91" t="str">
        <f>OFERTOWY!H252</f>
        <v> </v>
      </c>
    </row>
    <row r="17" spans="1:3" ht="30" customHeight="1">
      <c r="A17" s="83" t="str">
        <f>OFERTOWY!A114</f>
        <v>2.1</v>
      </c>
      <c r="B17" s="83" t="str">
        <f>OFERTOWY!D114</f>
        <v>ŁAWY FUNDAMENTOWE</v>
      </c>
      <c r="C17" s="88" t="str">
        <f>OFERTOWY!H127</f>
        <v> </v>
      </c>
    </row>
    <row r="18" spans="1:3" ht="30" customHeight="1">
      <c r="A18" s="83" t="str">
        <f>OFERTOWY!A129</f>
        <v>2.2</v>
      </c>
      <c r="B18" s="83" t="str">
        <f>OFERTOWY!D129</f>
        <v>PODPORY I KONSTRUKCJE OPOROWE Z BETONU</v>
      </c>
      <c r="C18" s="88" t="str">
        <f>OFERTOWY!H147</f>
        <v> </v>
      </c>
    </row>
    <row r="19" spans="1:3" ht="30" customHeight="1">
      <c r="A19" s="83" t="str">
        <f>OFERTOWY!A148</f>
        <v>2.3</v>
      </c>
      <c r="B19" s="83" t="str">
        <f>OFERTOWY!D148</f>
        <v>USTROJE NOŚNE</v>
      </c>
      <c r="C19" s="88" t="str">
        <f>OFERTOWY!H162</f>
        <v> </v>
      </c>
    </row>
    <row r="20" spans="1:3" ht="30" customHeight="1">
      <c r="A20" s="83" t="str">
        <f>OFERTOWY!A163</f>
        <v>2.4</v>
      </c>
      <c r="B20" s="83" t="str">
        <f>OFERTOWY!D163</f>
        <v>PŁYTY POMOSTU ZESPOLONE Z KONSTRUKCJĄ STALOWĄ</v>
      </c>
      <c r="C20" s="88" t="str">
        <f>OFERTOWY!H174</f>
        <v> </v>
      </c>
    </row>
    <row r="21" spans="1:3" ht="30" customHeight="1">
      <c r="A21" s="83" t="str">
        <f>OFERTOWY!A175</f>
        <v>2.5</v>
      </c>
      <c r="B21" s="83" t="str">
        <f>OFERTOWY!D175</f>
        <v>KAPY CHODNIKOWE</v>
      </c>
      <c r="C21" s="88" t="str">
        <f>OFERTOWY!H185</f>
        <v> </v>
      </c>
    </row>
    <row r="22" spans="1:3" ht="30" customHeight="1">
      <c r="A22" s="83" t="str">
        <f>OFERTOWY!A186</f>
        <v>2.6</v>
      </c>
      <c r="B22" s="83" t="str">
        <f>OFERTOWY!D186</f>
        <v>ŁOŻYSKA</v>
      </c>
      <c r="C22" s="88" t="str">
        <f>OFERTOWY!H192</f>
        <v> </v>
      </c>
    </row>
    <row r="23" spans="1:3" ht="30" customHeight="1">
      <c r="A23" s="83" t="str">
        <f>OFERTOWY!A193</f>
        <v>2.7</v>
      </c>
      <c r="B23" s="83" t="str">
        <f>OFERTOWY!D193</f>
        <v>URZĄDZENIA DYLATACYJNE</v>
      </c>
      <c r="C23" s="88" t="str">
        <f>OFERTOWY!H198</f>
        <v> </v>
      </c>
    </row>
    <row r="24" spans="1:3" ht="30" customHeight="1">
      <c r="A24" s="83" t="str">
        <f>OFERTOWY!A199</f>
        <v>2.8</v>
      </c>
      <c r="B24" s="83" t="str">
        <f>OFERTOWY!D199</f>
        <v>ODWODNIENIE</v>
      </c>
      <c r="C24" s="88" t="str">
        <f>OFERTOWY!H207</f>
        <v> </v>
      </c>
    </row>
    <row r="25" spans="1:3" ht="30" customHeight="1">
      <c r="A25" s="83" t="str">
        <f>OFERTOWY!A208</f>
        <v>2.9</v>
      </c>
      <c r="B25" s="83" t="str">
        <f>OFERTOWY!D208</f>
        <v>HYDROIZOLACJA</v>
      </c>
      <c r="C25" s="88" t="str">
        <f>OFERTOWY!H221</f>
        <v> </v>
      </c>
    </row>
    <row r="26" spans="1:3" ht="30" customHeight="1">
      <c r="A26" s="83" t="str">
        <f>OFERTOWY!A222</f>
        <v>2.10</v>
      </c>
      <c r="B26" s="83" t="str">
        <f>OFERTOWY!D222</f>
        <v>WYPOSAŻENIE</v>
      </c>
      <c r="C26" s="88" t="str">
        <f>OFERTOWY!H231</f>
        <v> </v>
      </c>
    </row>
    <row r="27" spans="1:3" ht="30" customHeight="1">
      <c r="A27" s="83" t="str">
        <f>OFERTOWY!A232</f>
        <v>2.11</v>
      </c>
      <c r="B27" s="83" t="str">
        <f>OFERTOWY!D232</f>
        <v>ROBOTY PRZYOBIEKTOWE</v>
      </c>
      <c r="C27" s="88" t="str">
        <f>OFERTOWY!H237</f>
        <v> </v>
      </c>
    </row>
    <row r="28" spans="1:3" ht="30" customHeight="1">
      <c r="A28" s="83" t="str">
        <f>OFERTOWY!A238</f>
        <v>2.12</v>
      </c>
      <c r="B28" s="83" t="str">
        <f>OFERTOWY!D238</f>
        <v>ROBOTY REGULACYJNE</v>
      </c>
      <c r="C28" s="88" t="str">
        <f>OFERTOWY!H243</f>
        <v> </v>
      </c>
    </row>
    <row r="29" spans="1:3" ht="30" customHeight="1">
      <c r="A29" s="83" t="str">
        <f>OFERTOWY!A244</f>
        <v>2.13</v>
      </c>
      <c r="B29" s="83" t="str">
        <f>OFERTOWY!D244</f>
        <v>ROBOTY NAWIERZCHNIOWE I ZABEZPIECZAJĄCE</v>
      </c>
      <c r="C29" s="88" t="str">
        <f>OFERTOWY!H251</f>
        <v> </v>
      </c>
    </row>
    <row r="30" spans="1:3" s="92" customFormat="1" ht="30" customHeight="1">
      <c r="A30" s="216" t="s">
        <v>9</v>
      </c>
      <c r="B30" s="216"/>
      <c r="C30" s="91" t="str">
        <f>IF(SUM(C16,C8)=0," ",SUM(C8,C16))</f>
        <v> </v>
      </c>
    </row>
    <row r="31" spans="1:3" s="92" customFormat="1" ht="30" customHeight="1">
      <c r="A31" s="216" t="s">
        <v>99</v>
      </c>
      <c r="B31" s="216"/>
      <c r="C31" s="91" t="str">
        <f>IF(C30=" "," ",ROUND(C30*0.23,2))</f>
        <v> </v>
      </c>
    </row>
    <row r="32" spans="1:3" s="92" customFormat="1" ht="30" customHeight="1">
      <c r="A32" s="216" t="s">
        <v>18</v>
      </c>
      <c r="B32" s="216"/>
      <c r="C32" s="91" t="str">
        <f>IF(SUM(C30:C31)=0," ",SUM(C30:C31))</f>
        <v> </v>
      </c>
    </row>
    <row r="33" ht="30" customHeight="1"/>
    <row r="34" ht="30" customHeight="1"/>
    <row r="35" ht="30" customHeight="1"/>
  </sheetData>
  <sheetProtection/>
  <mergeCells count="6">
    <mergeCell ref="A31:B31"/>
    <mergeCell ref="A32:B32"/>
    <mergeCell ref="A1:C1"/>
    <mergeCell ref="A3:C3"/>
    <mergeCell ref="A5:C5"/>
    <mergeCell ref="A30:B30"/>
  </mergeCells>
  <printOptions/>
  <pageMargins left="0.7874015748031497" right="0.7874015748031497" top="0.984251968503937" bottom="0.984251968503937" header="0.5118110236220472" footer="0.5118110236220472"/>
  <pageSetup firstPageNumber="2" useFirstPageNumber="1" fitToHeight="1" fitToWidth="1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N303"/>
  <sheetViews>
    <sheetView view="pageBreakPreview" zoomScale="85" zoomScaleNormal="145" zoomScaleSheetLayoutView="85" zoomScalePageLayoutView="0" workbookViewId="0" topLeftCell="A218">
      <selection activeCell="F259" sqref="F259"/>
    </sheetView>
  </sheetViews>
  <sheetFormatPr defaultColWidth="9.00390625" defaultRowHeight="12.75"/>
  <cols>
    <col min="1" max="1" width="4.625" style="36" customWidth="1"/>
    <col min="2" max="2" width="12.875" style="36" customWidth="1"/>
    <col min="3" max="3" width="8.875" style="37" customWidth="1"/>
    <col min="4" max="4" width="66.875" style="38" customWidth="1"/>
    <col min="5" max="5" width="10.00390625" style="17" customWidth="1"/>
    <col min="6" max="6" width="11.125" style="64" customWidth="1"/>
    <col min="7" max="7" width="12.875" style="39" customWidth="1"/>
    <col min="8" max="8" width="12.75390625" style="39" customWidth="1"/>
    <col min="9" max="9" width="10.625" style="17" bestFit="1" customWidth="1"/>
    <col min="10" max="10" width="10.375" style="17" customWidth="1"/>
    <col min="11" max="11" width="9.75390625" style="17" bestFit="1" customWidth="1"/>
    <col min="12" max="16384" width="9.125" style="17" customWidth="1"/>
  </cols>
  <sheetData>
    <row r="1" spans="1:8" ht="24.75" customHeight="1">
      <c r="A1" s="200" t="str">
        <f>OKŁADKA_O!A9</f>
        <v>KOSZTORYS OFERTOWY</v>
      </c>
      <c r="B1" s="201"/>
      <c r="C1" s="201"/>
      <c r="D1" s="201"/>
      <c r="E1" s="201"/>
      <c r="F1" s="201"/>
      <c r="G1" s="201"/>
      <c r="H1" s="201"/>
    </row>
    <row r="2" spans="1:8" ht="69.75" customHeight="1">
      <c r="A2" s="225" t="str">
        <f>OKŁADKA_P!A12</f>
        <v>Remont mostu w ciągu drogi gminnej publicznej Nr G114536 w miejscowości Jaśliska w km 0+543</v>
      </c>
      <c r="B2" s="225"/>
      <c r="C2" s="225"/>
      <c r="D2" s="225"/>
      <c r="E2" s="225"/>
      <c r="F2" s="225"/>
      <c r="G2" s="225"/>
      <c r="H2" s="225"/>
    </row>
    <row r="3" spans="1:8" ht="30" customHeight="1">
      <c r="A3" s="226" t="s">
        <v>181</v>
      </c>
      <c r="B3" s="227"/>
      <c r="C3" s="227"/>
      <c r="D3" s="227"/>
      <c r="E3" s="227"/>
      <c r="F3" s="227"/>
      <c r="G3" s="227"/>
      <c r="H3" s="227"/>
    </row>
    <row r="4" spans="1:8" ht="15" customHeight="1">
      <c r="A4" s="18"/>
      <c r="B4" s="18"/>
      <c r="C4" s="19"/>
      <c r="D4" s="20"/>
      <c r="E4" s="20"/>
      <c r="F4" s="62"/>
      <c r="G4" s="21"/>
      <c r="H4" s="21"/>
    </row>
    <row r="5" spans="1:8" ht="21.75" customHeight="1">
      <c r="A5" s="204" t="s">
        <v>7</v>
      </c>
      <c r="B5" s="205" t="s">
        <v>28</v>
      </c>
      <c r="C5" s="206" t="s">
        <v>29</v>
      </c>
      <c r="D5" s="198" t="s">
        <v>24</v>
      </c>
      <c r="E5" s="197" t="s">
        <v>19</v>
      </c>
      <c r="F5" s="197"/>
      <c r="G5" s="220" t="s">
        <v>22</v>
      </c>
      <c r="H5" s="220" t="s">
        <v>23</v>
      </c>
    </row>
    <row r="6" spans="1:8" ht="21.75" customHeight="1">
      <c r="A6" s="204"/>
      <c r="B6" s="205"/>
      <c r="C6" s="207"/>
      <c r="D6" s="199"/>
      <c r="E6" s="25" t="s">
        <v>20</v>
      </c>
      <c r="F6" s="58" t="s">
        <v>30</v>
      </c>
      <c r="G6" s="221"/>
      <c r="H6" s="221"/>
    </row>
    <row r="7" spans="1:8" ht="30" customHeight="1">
      <c r="A7" s="101">
        <f>PRZEDMIAR!A7</f>
        <v>1</v>
      </c>
      <c r="B7" s="228" t="str">
        <f>PRZEDMIAR!B7</f>
        <v>ROBOTY DROGOWE</v>
      </c>
      <c r="C7" s="228"/>
      <c r="D7" s="228"/>
      <c r="E7" s="228"/>
      <c r="F7" s="228"/>
      <c r="G7" s="228"/>
      <c r="H7" s="228"/>
    </row>
    <row r="8" spans="1:8" s="78" customFormat="1" ht="30" customHeight="1">
      <c r="A8" s="60" t="str">
        <f>PRZEDMIAR!A8</f>
        <v>1.1</v>
      </c>
      <c r="B8" s="60" t="str">
        <f>PRZEDMIAR!B8</f>
        <v>D 01.00.00</v>
      </c>
      <c r="C8" s="60"/>
      <c r="D8" s="61" t="str">
        <f>PRZEDMIAR!D8</f>
        <v>ROBOTY PRZYGOTOWAWCZE</v>
      </c>
      <c r="E8" s="60" t="str">
        <f>PRZEDMIAR!E8</f>
        <v>x</v>
      </c>
      <c r="F8" s="60" t="str">
        <f>PRZEDMIAR!F8</f>
        <v>x</v>
      </c>
      <c r="G8" s="60" t="s">
        <v>21</v>
      </c>
      <c r="H8" s="60" t="s">
        <v>21</v>
      </c>
    </row>
    <row r="9" spans="1:10" s="59" customFormat="1" ht="30" customHeight="1">
      <c r="A9" s="14" t="str">
        <f>PRZEDMIAR!A9</f>
        <v>x</v>
      </c>
      <c r="B9" s="14" t="str">
        <f>PRZEDMIAR!B9</f>
        <v>D 01.01.01</v>
      </c>
      <c r="C9" s="14"/>
      <c r="D9" s="23" t="str">
        <f>PRZEDMIAR!D9</f>
        <v>Odtworzenie (wyznaczenie) trasy i punktów wysokościowych</v>
      </c>
      <c r="E9" s="14" t="str">
        <f>PRZEDMIAR!E9</f>
        <v>x</v>
      </c>
      <c r="F9" s="14" t="str">
        <f>PRZEDMIAR!F9</f>
        <v>x</v>
      </c>
      <c r="G9" s="14" t="s">
        <v>21</v>
      </c>
      <c r="H9" s="14" t="s">
        <v>21</v>
      </c>
      <c r="I9" s="17"/>
      <c r="J9" s="17"/>
    </row>
    <row r="10" spans="1:8" ht="30" customHeight="1">
      <c r="A10" s="10">
        <f>PRZEDMIAR!A10</f>
        <v>1</v>
      </c>
      <c r="B10" s="10" t="str">
        <f>PRZEDMIAR!B10</f>
        <v>D 01.01.01</v>
      </c>
      <c r="C10" s="10">
        <f>PRZEDMIAR!C10</f>
        <v>11</v>
      </c>
      <c r="D10" s="15" t="str">
        <f>PRZEDMIAR!D10</f>
        <v>Wyznaczenie trasy i punktów wysokościowych w terenie równinnym</v>
      </c>
      <c r="E10" s="10" t="str">
        <f>PRZEDMIAR!E10</f>
        <v>km</v>
      </c>
      <c r="F10" s="10">
        <f>PRZEDMIAR!F10</f>
        <v>0.1109</v>
      </c>
      <c r="G10" s="16"/>
      <c r="H10" s="16" t="str">
        <f>IF(ROUND(F10*G10,2)=0," ",ROUND(F10*G10,2))</f>
        <v> </v>
      </c>
    </row>
    <row r="11" spans="1:8" ht="12.75" hidden="1">
      <c r="A11" s="10">
        <f>PRZEDMIAR!A11</f>
        <v>0</v>
      </c>
      <c r="B11" s="10">
        <f>PRZEDMIAR!B11</f>
        <v>0</v>
      </c>
      <c r="C11" s="10">
        <f>PRZEDMIAR!C11</f>
        <v>0</v>
      </c>
      <c r="D11" s="15" t="str">
        <f>PRZEDMIAR!D11</f>
        <v>Odtworzenie trasy drogi i mostu:</v>
      </c>
      <c r="E11" s="10">
        <f>PRZEDMIAR!E11</f>
        <v>0</v>
      </c>
      <c r="F11" s="10">
        <f>PRZEDMIAR!F11</f>
        <v>0</v>
      </c>
      <c r="G11" s="16"/>
      <c r="H11" s="16"/>
    </row>
    <row r="12" spans="1:8" ht="17.25" customHeight="1" hidden="1">
      <c r="A12" s="10">
        <f>PRZEDMIAR!A12</f>
        <v>0</v>
      </c>
      <c r="B12" s="10">
        <f>PRZEDMIAR!B12</f>
        <v>0</v>
      </c>
      <c r="C12" s="10">
        <f>PRZEDMIAR!C12</f>
        <v>0</v>
      </c>
      <c r="D12" s="15" t="str">
        <f>PRZEDMIAR!D12</f>
        <v>(20,9+10+10)/1000</v>
      </c>
      <c r="E12" s="10" t="str">
        <f>PRZEDMIAR!E12</f>
        <v>km</v>
      </c>
      <c r="F12" s="10">
        <f>PRZEDMIAR!F12</f>
        <v>0.0409</v>
      </c>
      <c r="G12" s="16"/>
      <c r="H12" s="16"/>
    </row>
    <row r="13" spans="1:8" ht="25.5" hidden="1">
      <c r="A13" s="10">
        <f>PRZEDMIAR!A13</f>
        <v>0</v>
      </c>
      <c r="B13" s="10">
        <f>PRZEDMIAR!B13</f>
        <v>0</v>
      </c>
      <c r="C13" s="10">
        <f>PRZEDMIAR!C13</f>
        <v>0</v>
      </c>
      <c r="D13" s="15" t="str">
        <f>PRZEDMIAR!D13</f>
        <v>Wyznaczenie punktów charakterystycznych dla robót umacniających brzegi i dno rzeki</v>
      </c>
      <c r="E13" s="10">
        <f>PRZEDMIAR!E13</f>
        <v>0</v>
      </c>
      <c r="F13" s="10">
        <f>PRZEDMIAR!F13</f>
        <v>0</v>
      </c>
      <c r="G13" s="16"/>
      <c r="H13" s="16"/>
    </row>
    <row r="14" spans="1:8" ht="18.75" customHeight="1" hidden="1">
      <c r="A14" s="10">
        <f>PRZEDMIAR!A14</f>
        <v>0</v>
      </c>
      <c r="B14" s="10">
        <f>PRZEDMIAR!B14</f>
        <v>0</v>
      </c>
      <c r="C14" s="10">
        <f>PRZEDMIAR!C14</f>
        <v>0</v>
      </c>
      <c r="D14" s="15" t="str">
        <f>PRZEDMIAR!D14</f>
        <v>40+30/1000</v>
      </c>
      <c r="E14" s="10" t="str">
        <f>PRZEDMIAR!E14</f>
        <v>km</v>
      </c>
      <c r="F14" s="10">
        <f>PRZEDMIAR!F14</f>
        <v>0.07</v>
      </c>
      <c r="G14" s="16"/>
      <c r="H14" s="16"/>
    </row>
    <row r="15" spans="1:10" s="59" customFormat="1" ht="30" customHeight="1">
      <c r="A15" s="14" t="str">
        <f>PRZEDMIAR!A15</f>
        <v>x</v>
      </c>
      <c r="B15" s="14" t="str">
        <f>PRZEDMIAR!B15</f>
        <v>D 01.02.03</v>
      </c>
      <c r="C15" s="14"/>
      <c r="D15" s="23" t="str">
        <f>PRZEDMIAR!D15</f>
        <v>Wyburzenie obiektów budowlanych</v>
      </c>
      <c r="E15" s="14" t="str">
        <f>PRZEDMIAR!E15</f>
        <v>x</v>
      </c>
      <c r="F15" s="14" t="str">
        <f>PRZEDMIAR!F15</f>
        <v>x</v>
      </c>
      <c r="G15" s="14" t="s">
        <v>21</v>
      </c>
      <c r="H15" s="14" t="s">
        <v>21</v>
      </c>
      <c r="I15" s="17"/>
      <c r="J15" s="17"/>
    </row>
    <row r="16" spans="1:8" ht="25.5">
      <c r="A16" s="10">
        <f>PRZEDMIAR!A16</f>
        <v>2</v>
      </c>
      <c r="B16" s="10" t="str">
        <f>PRZEDMIAR!B16</f>
        <v>D 01.02.03</v>
      </c>
      <c r="C16" s="10">
        <f>PRZEDMIAR!C16</f>
        <v>11</v>
      </c>
      <c r="D16" s="15" t="str">
        <f>PRZEDMIAR!D16</f>
        <v>Rozbiórki obiektów kubaturowych wraz z odwozem elementów i gruzu na składowisko Wykonawcy - elementy betonowe i żelbetowe</v>
      </c>
      <c r="E16" s="10" t="str">
        <f>PRZEDMIAR!E16</f>
        <v>m3</v>
      </c>
      <c r="F16" s="10">
        <f>PRZEDMIAR!F16</f>
        <v>10.4</v>
      </c>
      <c r="G16" s="16"/>
      <c r="H16" s="16" t="str">
        <f>IF(ROUND(F16*G16,2)=0," ",ROUND(F16*G16,2))</f>
        <v> </v>
      </c>
    </row>
    <row r="17" spans="1:8" ht="41.25" customHeight="1" hidden="1">
      <c r="A17" s="10">
        <f>PRZEDMIAR!A17</f>
        <v>0</v>
      </c>
      <c r="B17" s="10">
        <f>PRZEDMIAR!B17</f>
        <v>0</v>
      </c>
      <c r="C17" s="10">
        <f>PRZEDMIAR!C17</f>
        <v>0</v>
      </c>
      <c r="D17" s="15" t="str">
        <f>PRZEDMIAR!D17</f>
        <v>Rozebranie częściowe ław fundamentowych. Skucie od czoła skorodowanych powierzchni betonowych skrzydeł i podpór (gr. ok 5cm). Obmiar wg tab. 1.</v>
      </c>
      <c r="E17" s="10">
        <f>PRZEDMIAR!E17</f>
        <v>0</v>
      </c>
      <c r="F17" s="10">
        <f>PRZEDMIAR!F17</f>
        <v>0</v>
      </c>
      <c r="G17" s="16"/>
      <c r="H17" s="16"/>
    </row>
    <row r="18" spans="1:8" ht="20.25" customHeight="1" hidden="1">
      <c r="A18" s="10">
        <f>PRZEDMIAR!A18</f>
        <v>0</v>
      </c>
      <c r="B18" s="10">
        <f>PRZEDMIAR!B18</f>
        <v>0</v>
      </c>
      <c r="C18" s="10">
        <f>PRZEDMIAR!C18</f>
        <v>0</v>
      </c>
      <c r="D18" s="15">
        <f>PRZEDMIAR!D18</f>
        <v>10.4</v>
      </c>
      <c r="E18" s="10">
        <f>PRZEDMIAR!E18</f>
        <v>0</v>
      </c>
      <c r="F18" s="10">
        <f>PRZEDMIAR!F18</f>
        <v>10.4</v>
      </c>
      <c r="G18" s="16"/>
      <c r="H18" s="16"/>
    </row>
    <row r="19" spans="1:10" s="59" customFormat="1" ht="30" customHeight="1">
      <c r="A19" s="14" t="str">
        <f>PRZEDMIAR!A19</f>
        <v>x</v>
      </c>
      <c r="B19" s="14" t="str">
        <f>PRZEDMIAR!B19</f>
        <v>D 01.02.04</v>
      </c>
      <c r="C19" s="14"/>
      <c r="D19" s="23" t="str">
        <f>PRZEDMIAR!D19</f>
        <v>Rozbiórka elementów dróg, ogrodzeń i przepustów</v>
      </c>
      <c r="E19" s="14" t="str">
        <f>PRZEDMIAR!E19</f>
        <v>x</v>
      </c>
      <c r="F19" s="14" t="str">
        <f>PRZEDMIAR!F19</f>
        <v>x</v>
      </c>
      <c r="G19" s="14" t="s">
        <v>21</v>
      </c>
      <c r="H19" s="14" t="s">
        <v>21</v>
      </c>
      <c r="I19" s="17"/>
      <c r="J19" s="17"/>
    </row>
    <row r="20" spans="1:8" ht="30.75" customHeight="1">
      <c r="A20" s="10">
        <f>PRZEDMIAR!A20</f>
        <v>3</v>
      </c>
      <c r="B20" s="10" t="str">
        <f>PRZEDMIAR!B20</f>
        <v>D 01.02.04</v>
      </c>
      <c r="C20" s="10" t="str">
        <f>PRZEDMIAR!C20</f>
        <v>11</v>
      </c>
      <c r="D20" s="15" t="str">
        <f>PRZEDMIAR!D20</f>
        <v>Rozebranie podbudowy z kruszywa o średniej grubości do 60 cm</v>
      </c>
      <c r="E20" s="10" t="str">
        <f>PRZEDMIAR!E20</f>
        <v>m2</v>
      </c>
      <c r="F20" s="10">
        <f>PRZEDMIAR!F20</f>
        <v>17</v>
      </c>
      <c r="G20" s="16"/>
      <c r="H20" s="16" t="str">
        <f aca="true" t="shared" si="0" ref="H20:H25">IF(ROUND(F20*G20,2)=0," ",ROUND(F20*G20,2))</f>
        <v> </v>
      </c>
    </row>
    <row r="21" spans="1:8" ht="54.75" customHeight="1" hidden="1">
      <c r="A21" s="10">
        <f>PRZEDMIAR!A21</f>
        <v>0</v>
      </c>
      <c r="B21" s="10">
        <f>PRZEDMIAR!B21</f>
        <v>0</v>
      </c>
      <c r="C21" s="10">
        <f>PRZEDMIAR!C21</f>
        <v>0</v>
      </c>
      <c r="D21" s="15" t="str">
        <f>PRZEDMIAR!D21</f>
        <v>Rozebranie podbudowy z kruszywa o grubości do 60 cm na długości wykopu roboczego przy wykonaniu poprzecznic zamykających na końcach przyczółków, materiał do wbudowania na miejscu. </v>
      </c>
      <c r="E21" s="10">
        <f>PRZEDMIAR!E21</f>
        <v>0</v>
      </c>
      <c r="F21" s="10">
        <f>PRZEDMIAR!F21</f>
        <v>0</v>
      </c>
      <c r="G21" s="16">
        <v>51</v>
      </c>
      <c r="H21" s="16" t="str">
        <f t="shared" si="0"/>
        <v> </v>
      </c>
    </row>
    <row r="22" spans="1:8" ht="21" customHeight="1" hidden="1">
      <c r="A22" s="10">
        <f>PRZEDMIAR!A22</f>
        <v>0</v>
      </c>
      <c r="B22" s="10">
        <f>PRZEDMIAR!B22</f>
        <v>0</v>
      </c>
      <c r="C22" s="10">
        <f>PRZEDMIAR!C22</f>
        <v>0</v>
      </c>
      <c r="D22" s="15" t="str">
        <f>PRZEDMIAR!D22</f>
        <v>1,0x8,5x2</v>
      </c>
      <c r="E22" s="10" t="str">
        <f>PRZEDMIAR!E22</f>
        <v>m2</v>
      </c>
      <c r="F22" s="10">
        <f>PRZEDMIAR!F22</f>
        <v>17</v>
      </c>
      <c r="G22" s="16">
        <v>52</v>
      </c>
      <c r="H22" s="16">
        <f t="shared" si="0"/>
        <v>884</v>
      </c>
    </row>
    <row r="23" spans="1:8" ht="30" customHeight="1">
      <c r="A23" s="10">
        <f>PRZEDMIAR!A23</f>
        <v>4</v>
      </c>
      <c r="B23" s="10" t="str">
        <f>PRZEDMIAR!B23</f>
        <v>D 01.02.04</v>
      </c>
      <c r="C23" s="10" t="str">
        <f>PRZEDMIAR!C23</f>
        <v>62</v>
      </c>
      <c r="D23" s="15" t="str">
        <f>PRZEDMIAR!D23</f>
        <v>Rozebranie balustrad stalowych na moście i na dojazdach</v>
      </c>
      <c r="E23" s="10" t="str">
        <f>PRZEDMIAR!E23</f>
        <v>m</v>
      </c>
      <c r="F23" s="10">
        <f>PRZEDMIAR!F23</f>
        <v>49.8</v>
      </c>
      <c r="G23" s="16"/>
      <c r="H23" s="16" t="str">
        <f t="shared" si="0"/>
        <v> </v>
      </c>
    </row>
    <row r="24" spans="1:8" ht="32.25" customHeight="1" hidden="1">
      <c r="A24" s="10">
        <f>PRZEDMIAR!A24</f>
        <v>0</v>
      </c>
      <c r="B24" s="10">
        <f>PRZEDMIAR!B24</f>
        <v>0</v>
      </c>
      <c r="C24" s="10" t="str">
        <f>PRZEDMIAR!C24</f>
        <v>analogia</v>
      </c>
      <c r="D24" s="15" t="str">
        <f>PRZEDMIAR!D24</f>
        <v>Rozebranie balustrad stalowych na moście. Materiał z rozbiórki (stal) do wykorzystania w gestii Zamawiajacego. </v>
      </c>
      <c r="E24" s="10">
        <f>PRZEDMIAR!E24</f>
        <v>0</v>
      </c>
      <c r="F24" s="10">
        <f>PRZEDMIAR!F24</f>
        <v>0</v>
      </c>
      <c r="G24" s="16">
        <v>55</v>
      </c>
      <c r="H24" s="16" t="str">
        <f t="shared" si="0"/>
        <v> </v>
      </c>
    </row>
    <row r="25" spans="1:8" ht="18" customHeight="1" hidden="1">
      <c r="A25" s="10">
        <f>PRZEDMIAR!A25</f>
        <v>0</v>
      </c>
      <c r="B25" s="10">
        <f>PRZEDMIAR!B25</f>
        <v>0</v>
      </c>
      <c r="C25" s="10">
        <f>PRZEDMIAR!C25</f>
        <v>0</v>
      </c>
      <c r="D25" s="15" t="str">
        <f>PRZEDMIAR!D25</f>
        <v>(20,9+2x2,0)x2</v>
      </c>
      <c r="E25" s="10" t="str">
        <f>PRZEDMIAR!E25</f>
        <v>m</v>
      </c>
      <c r="F25" s="10">
        <f>PRZEDMIAR!F25</f>
        <v>49.8</v>
      </c>
      <c r="G25" s="16">
        <v>56</v>
      </c>
      <c r="H25" s="16">
        <f t="shared" si="0"/>
        <v>2788.8</v>
      </c>
    </row>
    <row r="26" spans="1:10" ht="32.25" customHeight="1">
      <c r="A26" s="10"/>
      <c r="B26" s="14"/>
      <c r="C26" s="22"/>
      <c r="D26" s="222" t="str">
        <f>PRZEDMIAR!D26</f>
        <v>OGÓŁEM: ROBOTY PRZYGOTOWAWCZE</v>
      </c>
      <c r="E26" s="223"/>
      <c r="F26" s="223"/>
      <c r="G26" s="224"/>
      <c r="H26" s="138" t="str">
        <f>IF(SUM(H10,H16,H20,H23)=0," ",SUM(H10,H16,H20,H23))</f>
        <v> </v>
      </c>
      <c r="J26" s="126"/>
    </row>
    <row r="27" spans="1:8" s="78" customFormat="1" ht="30" customHeight="1">
      <c r="A27" s="60" t="str">
        <f>PRZEDMIAR!A27</f>
        <v>1.2</v>
      </c>
      <c r="B27" s="60" t="str">
        <f>PRZEDMIAR!B27</f>
        <v>D 02.00.00</v>
      </c>
      <c r="C27" s="60"/>
      <c r="D27" s="61" t="str">
        <f>PRZEDMIAR!D27</f>
        <v>ROBOTY ZIEMNE</v>
      </c>
      <c r="E27" s="60" t="str">
        <f>PRZEDMIAR!E27</f>
        <v>x</v>
      </c>
      <c r="F27" s="60" t="str">
        <f>PRZEDMIAR!F27</f>
        <v>x</v>
      </c>
      <c r="G27" s="60" t="s">
        <v>21</v>
      </c>
      <c r="H27" s="60" t="s">
        <v>21</v>
      </c>
    </row>
    <row r="28" spans="1:10" s="59" customFormat="1" ht="30" customHeight="1">
      <c r="A28" s="14" t="str">
        <f>PRZEDMIAR!A28</f>
        <v>x</v>
      </c>
      <c r="B28" s="14" t="str">
        <f>PRZEDMIAR!B28</f>
        <v>D 02.01.01</v>
      </c>
      <c r="C28" s="14"/>
      <c r="D28" s="23" t="str">
        <f>PRZEDMIAR!D28</f>
        <v>Wykonanie wykopów w gruntach kategorii I-V</v>
      </c>
      <c r="E28" s="14" t="str">
        <f>PRZEDMIAR!E28</f>
        <v>x</v>
      </c>
      <c r="F28" s="14" t="str">
        <f>PRZEDMIAR!F28</f>
        <v>x</v>
      </c>
      <c r="G28" s="14" t="s">
        <v>21</v>
      </c>
      <c r="H28" s="14" t="s">
        <v>21</v>
      </c>
      <c r="I28" s="17"/>
      <c r="J28" s="17"/>
    </row>
    <row r="29" spans="1:8" ht="30" customHeight="1">
      <c r="A29" s="10">
        <f>PRZEDMIAR!A29</f>
        <v>5</v>
      </c>
      <c r="B29" s="10" t="str">
        <f>PRZEDMIAR!B29</f>
        <v>D 02.01.01</v>
      </c>
      <c r="C29" s="10" t="str">
        <f>PRZEDMIAR!C29</f>
        <v>11</v>
      </c>
      <c r="D29" s="15" t="str">
        <f>PRZEDMIAR!D29</f>
        <v>Roboty ziemne poprzeczne (bez transportu) wykonywane mechanicznie w gr. kat. I-V - wbudowanie w skarpy rzeki (20% dodatku)</v>
      </c>
      <c r="E29" s="10" t="str">
        <f>PRZEDMIAR!E29</f>
        <v>m3</v>
      </c>
      <c r="F29" s="16">
        <f>PRZEDMIAR!F29</f>
        <v>549.6</v>
      </c>
      <c r="G29" s="16"/>
      <c r="H29" s="16" t="str">
        <f>IF(ROUND(F29*G29,2)=0," ",ROUND(F29*G29,2))</f>
        <v> </v>
      </c>
    </row>
    <row r="30" spans="1:9" ht="54" customHeight="1" hidden="1">
      <c r="A30" s="10">
        <f>PRZEDMIAR!A30</f>
        <v>0</v>
      </c>
      <c r="B30" s="10">
        <f>PRZEDMIAR!B30</f>
        <v>0</v>
      </c>
      <c r="C30" s="10">
        <f>PRZEDMIAR!C30</f>
        <v>0</v>
      </c>
      <c r="D30" s="15" t="str">
        <f>PRZEDMIAR!D30</f>
        <v>Wykopy - przy wykonaniu umocnienia brzegów rzeki, na przerzut z ponownym uformowaniem skarp rzeki. Grunt do ponownego wykorzystania w ilości zgodnej z tab. Nr 3. Grunt do ponownego wbudowania na miejscu budowy w skarpy rzeki - wbudowanie, plantowanie, obsianie trawą </v>
      </c>
      <c r="E30" s="10">
        <f>PRZEDMIAR!E30</f>
        <v>0</v>
      </c>
      <c r="F30" s="10">
        <f>PRZEDMIAR!F30</f>
        <v>0</v>
      </c>
      <c r="G30" s="16"/>
      <c r="H30" s="16" t="str">
        <f aca="true" t="shared" si="1" ref="H30:H37">IF(ROUND(F30*G30,2)=0," ",ROUND(F30*G30,2))</f>
        <v> </v>
      </c>
      <c r="I30" s="50"/>
    </row>
    <row r="31" spans="1:8" ht="18" customHeight="1" hidden="1">
      <c r="A31" s="10">
        <f>PRZEDMIAR!A31</f>
        <v>0</v>
      </c>
      <c r="B31" s="10">
        <f>PRZEDMIAR!B31</f>
        <v>0</v>
      </c>
      <c r="C31" s="10">
        <f>PRZEDMIAR!C31</f>
        <v>0</v>
      </c>
      <c r="D31" s="15">
        <f>PRZEDMIAR!D31</f>
        <v>382</v>
      </c>
      <c r="E31" s="10" t="str">
        <f>PRZEDMIAR!E31</f>
        <v>m3</v>
      </c>
      <c r="F31" s="10">
        <f>PRZEDMIAR!F31</f>
        <v>382</v>
      </c>
      <c r="G31" s="16"/>
      <c r="H31" s="16" t="str">
        <f t="shared" si="1"/>
        <v> </v>
      </c>
    </row>
    <row r="32" spans="1:8" ht="54" customHeight="1" hidden="1">
      <c r="A32" s="10" t="e">
        <f>PRZEDMIAR!#REF!</f>
        <v>#REF!</v>
      </c>
      <c r="B32" s="10" t="e">
        <f>PRZEDMIAR!#REF!</f>
        <v>#REF!</v>
      </c>
      <c r="C32" s="10" t="e">
        <f>PRZEDMIAR!#REF!</f>
        <v>#REF!</v>
      </c>
      <c r="D32" s="15" t="e">
        <f>PRZEDMIAR!#REF!</f>
        <v>#REF!</v>
      </c>
      <c r="E32" s="10" t="e">
        <f>PRZEDMIAR!#REF!</f>
        <v>#REF!</v>
      </c>
      <c r="F32" s="10" t="e">
        <f>PRZEDMIAR!#REF!</f>
        <v>#REF!</v>
      </c>
      <c r="G32" s="16"/>
      <c r="H32" s="16" t="e">
        <f t="shared" si="1"/>
        <v>#REF!</v>
      </c>
    </row>
    <row r="33" spans="1:8" ht="18.75" customHeight="1" hidden="1">
      <c r="A33" s="10" t="e">
        <f>PRZEDMIAR!#REF!</f>
        <v>#REF!</v>
      </c>
      <c r="B33" s="10" t="e">
        <f>PRZEDMIAR!#REF!</f>
        <v>#REF!</v>
      </c>
      <c r="C33" s="10" t="e">
        <f>PRZEDMIAR!#REF!</f>
        <v>#REF!</v>
      </c>
      <c r="D33" s="15" t="e">
        <f>PRZEDMIAR!#REF!</f>
        <v>#REF!</v>
      </c>
      <c r="E33" s="10" t="e">
        <f>PRZEDMIAR!#REF!</f>
        <v>#REF!</v>
      </c>
      <c r="F33" s="10" t="e">
        <f>PRZEDMIAR!#REF!</f>
        <v>#REF!</v>
      </c>
      <c r="G33" s="16"/>
      <c r="H33" s="16" t="e">
        <f t="shared" si="1"/>
        <v>#REF!</v>
      </c>
    </row>
    <row r="34" spans="1:8" ht="28.5" customHeight="1" hidden="1">
      <c r="A34" s="10">
        <f>PRZEDMIAR!A32</f>
        <v>0</v>
      </c>
      <c r="B34" s="10">
        <f>PRZEDMIAR!B32</f>
        <v>0</v>
      </c>
      <c r="C34" s="10">
        <f>PRZEDMIAR!C32</f>
        <v>0</v>
      </c>
      <c r="D34" s="15" t="str">
        <f>PRZEDMIAR!D32</f>
        <v>Wykopy - część drogowa, na przerzut (wg tabeli nr4)</v>
      </c>
      <c r="E34" s="10">
        <f>PRZEDMIAR!E32</f>
        <v>0</v>
      </c>
      <c r="F34" s="10">
        <f>PRZEDMIAR!F32</f>
        <v>0</v>
      </c>
      <c r="G34" s="16"/>
      <c r="H34" s="16" t="str">
        <f t="shared" si="1"/>
        <v> </v>
      </c>
    </row>
    <row r="35" spans="1:8" ht="20.25" customHeight="1" hidden="1">
      <c r="A35" s="10">
        <f>PRZEDMIAR!A33</f>
        <v>0</v>
      </c>
      <c r="B35" s="10">
        <f>PRZEDMIAR!B33</f>
        <v>0</v>
      </c>
      <c r="C35" s="10">
        <f>PRZEDMIAR!C33</f>
        <v>0</v>
      </c>
      <c r="D35" s="15">
        <f>PRZEDMIAR!D33</f>
        <v>76</v>
      </c>
      <c r="E35" s="10" t="str">
        <f>PRZEDMIAR!E33</f>
        <v>m3</v>
      </c>
      <c r="F35" s="10">
        <f>PRZEDMIAR!F33</f>
        <v>76</v>
      </c>
      <c r="G35" s="16"/>
      <c r="H35" s="16" t="str">
        <f t="shared" si="1"/>
        <v> </v>
      </c>
    </row>
    <row r="36" spans="1:8" ht="30" customHeight="1">
      <c r="A36" s="14" t="str">
        <f>PRZEDMIAR!A34</f>
        <v>x</v>
      </c>
      <c r="B36" s="14" t="str">
        <f>PRZEDMIAR!B34</f>
        <v>D 02.03.01</v>
      </c>
      <c r="C36" s="14"/>
      <c r="D36" s="23" t="str">
        <f>PRZEDMIAR!D34</f>
        <v>Wykonanie nasypów</v>
      </c>
      <c r="E36" s="14" t="str">
        <f>PRZEDMIAR!E34</f>
        <v>x</v>
      </c>
      <c r="F36" s="14" t="str">
        <f>PRZEDMIAR!F34</f>
        <v>x</v>
      </c>
      <c r="G36" s="27" t="s">
        <v>21</v>
      </c>
      <c r="H36" s="27" t="s">
        <v>21</v>
      </c>
    </row>
    <row r="37" spans="1:8" ht="30" customHeight="1">
      <c r="A37" s="10">
        <f>PRZEDMIAR!A35</f>
        <v>6</v>
      </c>
      <c r="B37" s="10" t="str">
        <f>PRZEDMIAR!B35</f>
        <v>D 02.03.01</v>
      </c>
      <c r="C37" s="10" t="str">
        <f>PRZEDMIAR!C35</f>
        <v>11</v>
      </c>
      <c r="D37" s="15" t="str">
        <f>PRZEDMIAR!D35</f>
        <v>Wykonanie nasypów mechanicznie z gr. kat. I-V - z uzyskanego wykopu</v>
      </c>
      <c r="E37" s="10" t="str">
        <f>PRZEDMIAR!E35</f>
        <v>m3</v>
      </c>
      <c r="F37" s="10">
        <f>PRZEDMIAR!F35</f>
        <v>570.9</v>
      </c>
      <c r="G37" s="16"/>
      <c r="H37" s="16" t="str">
        <f t="shared" si="1"/>
        <v> </v>
      </c>
    </row>
    <row r="38" spans="1:8" ht="32.25" customHeight="1" hidden="1">
      <c r="A38" s="10">
        <f>PRZEDMIAR!A36</f>
        <v>0</v>
      </c>
      <c r="B38" s="10">
        <f>PRZEDMIAR!B36</f>
        <v>0</v>
      </c>
      <c r="C38" s="10">
        <f>PRZEDMIAR!C36</f>
        <v>0</v>
      </c>
      <c r="D38" s="15" t="str">
        <f>PRZEDMIAR!D36</f>
        <v>Nasypy - część rzeczna, uformowaniem skarp rzeki z gruntu uzyskanego z wykopu.</v>
      </c>
      <c r="E38" s="10">
        <f>PRZEDMIAR!E36</f>
        <v>0</v>
      </c>
      <c r="F38" s="10">
        <f>PRZEDMIAR!F36</f>
        <v>0</v>
      </c>
      <c r="G38" s="16">
        <v>52</v>
      </c>
      <c r="H38" s="53"/>
    </row>
    <row r="39" spans="1:8" ht="30" customHeight="1" hidden="1">
      <c r="A39" s="10">
        <f>PRZEDMIAR!A37</f>
        <v>0</v>
      </c>
      <c r="B39" s="10">
        <f>PRZEDMIAR!B37</f>
        <v>0</v>
      </c>
      <c r="C39" s="10">
        <f>PRZEDMIAR!C37</f>
        <v>0</v>
      </c>
      <c r="D39" s="15">
        <f>PRZEDMIAR!D37</f>
        <v>549.6</v>
      </c>
      <c r="E39" s="10" t="str">
        <f>PRZEDMIAR!E37</f>
        <v>m3</v>
      </c>
      <c r="F39" s="10">
        <f>PRZEDMIAR!F37</f>
        <v>549.6</v>
      </c>
      <c r="G39" s="16">
        <v>54</v>
      </c>
      <c r="H39" s="53"/>
    </row>
    <row r="40" spans="1:10" ht="32.25" customHeight="1">
      <c r="A40" s="10"/>
      <c r="B40" s="14"/>
      <c r="C40" s="22"/>
      <c r="D40" s="222" t="str">
        <f>PRZEDMIAR!D40</f>
        <v>OGÓŁEM: ROBOTY ZIEMNE</v>
      </c>
      <c r="E40" s="223"/>
      <c r="F40" s="223"/>
      <c r="G40" s="224"/>
      <c r="H40" s="138" t="str">
        <f>IF(SUM(H29,H37)=0," ",SUM(H29,H37))</f>
        <v> </v>
      </c>
      <c r="J40" s="126"/>
    </row>
    <row r="41" spans="1:8" s="78" customFormat="1" ht="30" customHeight="1">
      <c r="A41" s="60" t="str">
        <f>PRZEDMIAR!A41</f>
        <v>1.3</v>
      </c>
      <c r="B41" s="60" t="str">
        <f>PRZEDMIAR!B41</f>
        <v>D 04.00.00</v>
      </c>
      <c r="C41" s="60"/>
      <c r="D41" s="61" t="str">
        <f>PRZEDMIAR!D41</f>
        <v>PODBUDOWY</v>
      </c>
      <c r="E41" s="60" t="str">
        <f>PRZEDMIAR!E41</f>
        <v>x</v>
      </c>
      <c r="F41" s="60" t="str">
        <f>PRZEDMIAR!F41</f>
        <v>x</v>
      </c>
      <c r="G41" s="60" t="s">
        <v>21</v>
      </c>
      <c r="H41" s="60" t="s">
        <v>21</v>
      </c>
    </row>
    <row r="42" spans="1:8" ht="30" customHeight="1">
      <c r="A42" s="14" t="str">
        <f>PRZEDMIAR!A42</f>
        <v>x</v>
      </c>
      <c r="B42" s="14" t="str">
        <f>PRZEDMIAR!B42</f>
        <v>D 04.01.01</v>
      </c>
      <c r="C42" s="14"/>
      <c r="D42" s="23" t="str">
        <f>PRZEDMIAR!D42</f>
        <v>Koryto wraz z profilowaniem i zagęszczaniem podłoża</v>
      </c>
      <c r="E42" s="14" t="str">
        <f>PRZEDMIAR!E42</f>
        <v>x</v>
      </c>
      <c r="F42" s="14" t="str">
        <f>PRZEDMIAR!F42</f>
        <v>x</v>
      </c>
      <c r="G42" s="16" t="s">
        <v>21</v>
      </c>
      <c r="H42" s="16" t="s">
        <v>21</v>
      </c>
    </row>
    <row r="43" spans="1:8" ht="30" customHeight="1">
      <c r="A43" s="10">
        <f>PRZEDMIAR!A43</f>
        <v>7</v>
      </c>
      <c r="B43" s="10" t="str">
        <f>PRZEDMIAR!B43</f>
        <v>D 04.01.01</v>
      </c>
      <c r="C43" s="10" t="str">
        <f>PRZEDMIAR!C43</f>
        <v>15</v>
      </c>
      <c r="D43" s="15" t="str">
        <f>PRZEDMIAR!D43</f>
        <v>Koryta wykonywane mechanicznie wraz z profilowaniem i zagęszczaniem podłoża w gruntach kat. I-VI, głębokość koryta 49cm</v>
      </c>
      <c r="E43" s="10" t="str">
        <f>PRZEDMIAR!E43</f>
        <v>m2</v>
      </c>
      <c r="F43" s="10">
        <f>PRZEDMIAR!F43</f>
        <v>63.1</v>
      </c>
      <c r="G43" s="16"/>
      <c r="H43" s="16" t="str">
        <f>IF(ROUND(F43*G43,2)=0," ",ROUND(F43*G43,2))</f>
        <v> </v>
      </c>
    </row>
    <row r="44" spans="1:8" ht="25.5" hidden="1">
      <c r="A44" s="10">
        <f>PRZEDMIAR!A44</f>
        <v>0</v>
      </c>
      <c r="B44" s="10">
        <f>PRZEDMIAR!B44</f>
        <v>0</v>
      </c>
      <c r="C44" s="10">
        <f>PRZEDMIAR!C44</f>
        <v>0</v>
      </c>
      <c r="D44" s="15" t="str">
        <f>PRZEDMIAR!D44</f>
        <v>Koryto na całej szerokości korpusu drogi pod wykonanie warstwy mrozoochronnej i podbudowy tłuczniowej</v>
      </c>
      <c r="E44" s="10">
        <f>PRZEDMIAR!E44</f>
        <v>0</v>
      </c>
      <c r="F44" s="10">
        <f>PRZEDMIAR!F44</f>
        <v>0</v>
      </c>
      <c r="G44" s="16"/>
      <c r="H44" s="16"/>
    </row>
    <row r="45" spans="1:8" ht="12.75" hidden="1">
      <c r="A45" s="10">
        <f>PRZEDMIAR!A45</f>
        <v>0</v>
      </c>
      <c r="B45" s="10">
        <f>PRZEDMIAR!B45</f>
        <v>0</v>
      </c>
      <c r="C45" s="10">
        <f>PRZEDMIAR!C45</f>
        <v>0</v>
      </c>
      <c r="D45" s="15">
        <f>PRZEDMIAR!D45</f>
        <v>63.1</v>
      </c>
      <c r="E45" s="10" t="str">
        <f>PRZEDMIAR!E45</f>
        <v>m2</v>
      </c>
      <c r="F45" s="10">
        <f>PRZEDMIAR!F45</f>
        <v>63.1</v>
      </c>
      <c r="G45" s="16"/>
      <c r="H45" s="16"/>
    </row>
    <row r="46" spans="1:8" ht="29.25" customHeight="1">
      <c r="A46" s="14" t="str">
        <f>PRZEDMIAR!A46</f>
        <v>x</v>
      </c>
      <c r="B46" s="14" t="str">
        <f>PRZEDMIAR!B46</f>
        <v>D 04.02.02</v>
      </c>
      <c r="C46" s="14"/>
      <c r="D46" s="23" t="str">
        <f>PRZEDMIAR!D46</f>
        <v>Warstwa mrozoochronna</v>
      </c>
      <c r="E46" s="14" t="str">
        <f>PRZEDMIAR!E46</f>
        <v>x</v>
      </c>
      <c r="F46" s="14" t="str">
        <f>PRZEDMIAR!F46</f>
        <v>x</v>
      </c>
      <c r="G46" s="27" t="s">
        <v>21</v>
      </c>
      <c r="H46" s="27" t="s">
        <v>21</v>
      </c>
    </row>
    <row r="47" spans="1:8" ht="21" customHeight="1">
      <c r="A47" s="10">
        <f>PRZEDMIAR!A47</f>
        <v>8</v>
      </c>
      <c r="B47" s="10" t="str">
        <f>PRZEDMIAR!B47</f>
        <v>D 04.02.02</v>
      </c>
      <c r="C47" s="10" t="str">
        <f>PRZEDMIAR!C47</f>
        <v>11</v>
      </c>
      <c r="D47" s="15" t="str">
        <f>PRZEDMIAR!D47</f>
        <v>Wykonanie warstwy mrozoochronnej gr. w-wy do 20cm</v>
      </c>
      <c r="E47" s="10" t="str">
        <f>PRZEDMIAR!E47</f>
        <v>m2</v>
      </c>
      <c r="F47" s="10">
        <f>PRZEDMIAR!F47</f>
        <v>42</v>
      </c>
      <c r="G47" s="16"/>
      <c r="H47" s="16" t="str">
        <f>IF(ROUND(F47*G47,2)=0," ",ROUND(F47*G47,2))</f>
        <v> </v>
      </c>
    </row>
    <row r="48" spans="1:8" ht="25.5" hidden="1">
      <c r="A48" s="10">
        <f>PRZEDMIAR!A48</f>
        <v>0</v>
      </c>
      <c r="B48" s="10">
        <f>PRZEDMIAR!B48</f>
        <v>0</v>
      </c>
      <c r="C48" s="10">
        <f>PRZEDMIAR!C48</f>
        <v>0</v>
      </c>
      <c r="D48" s="15" t="str">
        <f>PRZEDMIAR!D48</f>
        <v>Wykonanie warstwy mrozoochronnej z pospółki, w-wa gr. 20cm-obmiar wg tab. 2</v>
      </c>
      <c r="E48" s="10">
        <f>PRZEDMIAR!E48</f>
        <v>0</v>
      </c>
      <c r="F48" s="10">
        <f>PRZEDMIAR!F48</f>
        <v>0</v>
      </c>
      <c r="G48" s="16"/>
      <c r="H48" s="16"/>
    </row>
    <row r="49" spans="1:8" ht="12.75" hidden="1">
      <c r="A49" s="10">
        <f>PRZEDMIAR!A49</f>
        <v>0</v>
      </c>
      <c r="B49" s="10">
        <f>PRZEDMIAR!B49</f>
        <v>0</v>
      </c>
      <c r="C49" s="10">
        <f>PRZEDMIAR!C49</f>
        <v>0</v>
      </c>
      <c r="D49" s="15">
        <f>PRZEDMIAR!D49</f>
        <v>42</v>
      </c>
      <c r="E49" s="10" t="str">
        <f>PRZEDMIAR!E49</f>
        <v>m2</v>
      </c>
      <c r="F49" s="10">
        <f>PRZEDMIAR!F49</f>
        <v>42</v>
      </c>
      <c r="G49" s="16"/>
      <c r="H49" s="16"/>
    </row>
    <row r="50" spans="1:8" ht="30" customHeight="1">
      <c r="A50" s="14" t="str">
        <f>PRZEDMIAR!A50</f>
        <v>x</v>
      </c>
      <c r="B50" s="14" t="str">
        <f>PRZEDMIAR!B50</f>
        <v>D 04.03.01</v>
      </c>
      <c r="C50" s="14"/>
      <c r="D50" s="23" t="str">
        <f>PRZEDMIAR!D50</f>
        <v>Oczyszczenie i skropienie warstw konstrukcyjnych</v>
      </c>
      <c r="E50" s="14" t="str">
        <f>PRZEDMIAR!E50</f>
        <v>x</v>
      </c>
      <c r="F50" s="14" t="str">
        <f>PRZEDMIAR!F50</f>
        <v>x</v>
      </c>
      <c r="G50" s="27" t="s">
        <v>21</v>
      </c>
      <c r="H50" s="27" t="s">
        <v>21</v>
      </c>
    </row>
    <row r="51" spans="1:8" ht="30" customHeight="1">
      <c r="A51" s="10">
        <f>PRZEDMIAR!A51</f>
        <v>9</v>
      </c>
      <c r="B51" s="10" t="str">
        <f>PRZEDMIAR!B51</f>
        <v>D 04.03.01</v>
      </c>
      <c r="C51" s="10" t="str">
        <f>PRZEDMIAR!C51</f>
        <v>12</v>
      </c>
      <c r="D51" s="15" t="str">
        <f>PRZEDMIAR!D51</f>
        <v>Oczyszczenie warstw konstrukcyjnych mechanicznie</v>
      </c>
      <c r="E51" s="10" t="str">
        <f>PRZEDMIAR!E51</f>
        <v>m2</v>
      </c>
      <c r="F51" s="10">
        <f>PRZEDMIAR!F51</f>
        <v>294.8</v>
      </c>
      <c r="G51" s="16"/>
      <c r="H51" s="16" t="str">
        <f>IF(ROUND(F51*G51,2)=0," ",ROUND(F51*G51,2))</f>
        <v> </v>
      </c>
    </row>
    <row r="52" spans="1:8" ht="39.75" customHeight="1" hidden="1">
      <c r="A52" s="10">
        <f>PRZEDMIAR!A52</f>
        <v>0</v>
      </c>
      <c r="B52" s="10">
        <f>PRZEDMIAR!B52</f>
        <v>0</v>
      </c>
      <c r="C52" s="10">
        <f>PRZEDMIAR!C52</f>
        <v>0</v>
      </c>
      <c r="D52" s="15" t="str">
        <f>PRZEDMIAR!D52</f>
        <v>Oczyszczenie warstwy ochronnej na moście i warstwy podbudowy na drodze. Powierzchnia wg tab. 2</v>
      </c>
      <c r="E52" s="10">
        <f>PRZEDMIAR!E52</f>
        <v>0</v>
      </c>
      <c r="F52" s="10">
        <f>PRZEDMIAR!F52</f>
        <v>0</v>
      </c>
      <c r="G52" s="16"/>
      <c r="H52" s="16"/>
    </row>
    <row r="53" spans="1:8" ht="12.75" hidden="1">
      <c r="A53" s="10">
        <f>PRZEDMIAR!A53</f>
        <v>0</v>
      </c>
      <c r="B53" s="10">
        <f>PRZEDMIAR!B53</f>
        <v>0</v>
      </c>
      <c r="C53" s="10">
        <f>PRZEDMIAR!C53</f>
        <v>0</v>
      </c>
      <c r="D53" s="15" t="str">
        <f>PRZEDMIAR!D53</f>
        <v>oczyszczenie warstw bitumicznych</v>
      </c>
      <c r="E53" s="10">
        <f>PRZEDMIAR!E53</f>
        <v>0</v>
      </c>
      <c r="F53" s="10">
        <f>PRZEDMIAR!F53</f>
        <v>0</v>
      </c>
      <c r="G53" s="16"/>
      <c r="H53" s="16"/>
    </row>
    <row r="54" spans="1:8" ht="12.75" hidden="1">
      <c r="A54" s="10">
        <f>PRZEDMIAR!A54</f>
        <v>0</v>
      </c>
      <c r="B54" s="10">
        <f>PRZEDMIAR!B54</f>
        <v>0</v>
      </c>
      <c r="C54" s="10">
        <f>PRZEDMIAR!C54</f>
        <v>0</v>
      </c>
      <c r="D54" s="15">
        <f>PRZEDMIAR!D54</f>
        <v>231.7</v>
      </c>
      <c r="E54" s="10" t="str">
        <f>PRZEDMIAR!E54</f>
        <v>m2</v>
      </c>
      <c r="F54" s="10">
        <f>PRZEDMIAR!F54</f>
        <v>231.7</v>
      </c>
      <c r="G54" s="16"/>
      <c r="H54" s="16"/>
    </row>
    <row r="55" spans="1:8" ht="12.75" hidden="1">
      <c r="A55" s="10">
        <f>PRZEDMIAR!A55</f>
        <v>0</v>
      </c>
      <c r="B55" s="10">
        <f>PRZEDMIAR!B55</f>
        <v>0</v>
      </c>
      <c r="C55" s="10">
        <f>PRZEDMIAR!C55</f>
        <v>0</v>
      </c>
      <c r="D55" s="15" t="str">
        <f>PRZEDMIAR!D55</f>
        <v>oczyszczenie warstw niebitumicznych</v>
      </c>
      <c r="E55" s="10">
        <f>PRZEDMIAR!E55</f>
        <v>0</v>
      </c>
      <c r="F55" s="10">
        <f>PRZEDMIAR!F55</f>
        <v>0</v>
      </c>
      <c r="G55" s="16"/>
      <c r="H55" s="16"/>
    </row>
    <row r="56" spans="1:8" ht="12.75" hidden="1">
      <c r="A56" s="10">
        <f>PRZEDMIAR!A56</f>
        <v>0</v>
      </c>
      <c r="B56" s="10">
        <f>PRZEDMIAR!B56</f>
        <v>0</v>
      </c>
      <c r="C56" s="10">
        <f>PRZEDMIAR!C56</f>
        <v>0</v>
      </c>
      <c r="D56" s="15">
        <f>PRZEDMIAR!D56</f>
        <v>63.1</v>
      </c>
      <c r="E56" s="10" t="str">
        <f>PRZEDMIAR!E56</f>
        <v>m2</v>
      </c>
      <c r="F56" s="10">
        <f>PRZEDMIAR!F56</f>
        <v>63.1</v>
      </c>
      <c r="G56" s="16"/>
      <c r="H56" s="16"/>
    </row>
    <row r="57" spans="1:8" ht="30" customHeight="1">
      <c r="A57" s="10">
        <f>PRZEDMIAR!A57</f>
        <v>10</v>
      </c>
      <c r="B57" s="10" t="str">
        <f>PRZEDMIAR!B57</f>
        <v>D 04.03.01</v>
      </c>
      <c r="C57" s="10" t="str">
        <f>PRZEDMIAR!C57</f>
        <v>22</v>
      </c>
      <c r="D57" s="15" t="str">
        <f>PRZEDMIAR!D57</f>
        <v>Skropienie warstw konstrukcyjnych emulsją asfaltową</v>
      </c>
      <c r="E57" s="10" t="str">
        <f>PRZEDMIAR!E57</f>
        <v>m2</v>
      </c>
      <c r="F57" s="10">
        <f>PRZEDMIAR!F57</f>
        <v>294.8</v>
      </c>
      <c r="G57" s="16"/>
      <c r="H57" s="16" t="str">
        <f>IF(ROUND(F57*G57,2)=0," ",ROUND(F57*G57,2))</f>
        <v> </v>
      </c>
    </row>
    <row r="58" spans="1:8" ht="25.5" hidden="1">
      <c r="A58" s="10">
        <f>PRZEDMIAR!A58</f>
        <v>0</v>
      </c>
      <c r="B58" s="10">
        <f>PRZEDMIAR!B58</f>
        <v>0</v>
      </c>
      <c r="C58" s="10">
        <f>PRZEDMIAR!C58</f>
        <v>0</v>
      </c>
      <c r="D58" s="15" t="str">
        <f>PRZEDMIAR!D58</f>
        <v>Skropienie wastwy ochronnej na moście, warstwy wiążącej i odcinków dowiązania na drodze: wg tab. 2</v>
      </c>
      <c r="E58" s="10">
        <f>PRZEDMIAR!E58</f>
        <v>0</v>
      </c>
      <c r="F58" s="10">
        <f>PRZEDMIAR!F58</f>
        <v>0</v>
      </c>
      <c r="G58" s="16"/>
      <c r="H58" s="16"/>
    </row>
    <row r="59" spans="1:8" ht="12.75" hidden="1">
      <c r="A59" s="10">
        <f>PRZEDMIAR!A59</f>
        <v>0</v>
      </c>
      <c r="B59" s="10">
        <f>PRZEDMIAR!B59</f>
        <v>0</v>
      </c>
      <c r="C59" s="10">
        <f>PRZEDMIAR!C59</f>
        <v>0</v>
      </c>
      <c r="D59" s="15" t="str">
        <f>PRZEDMIAR!D59</f>
        <v>skropienie warstw bitumicznych</v>
      </c>
      <c r="E59" s="10">
        <f>PRZEDMIAR!E59</f>
        <v>0</v>
      </c>
      <c r="F59" s="10">
        <f>PRZEDMIAR!F59</f>
        <v>0</v>
      </c>
      <c r="G59" s="16"/>
      <c r="H59" s="16"/>
    </row>
    <row r="60" spans="1:8" ht="21.75" customHeight="1" hidden="1">
      <c r="A60" s="10">
        <f>PRZEDMIAR!A60</f>
        <v>0</v>
      </c>
      <c r="B60" s="10">
        <f>PRZEDMIAR!B60</f>
        <v>0</v>
      </c>
      <c r="C60" s="10">
        <f>PRZEDMIAR!C60</f>
        <v>0</v>
      </c>
      <c r="D60" s="15">
        <f>PRZEDMIAR!D60</f>
        <v>231.7</v>
      </c>
      <c r="E60" s="10" t="str">
        <f>PRZEDMIAR!E60</f>
        <v>m2</v>
      </c>
      <c r="F60" s="10">
        <f>PRZEDMIAR!F60</f>
        <v>231.7</v>
      </c>
      <c r="G60" s="16"/>
      <c r="H60" s="16"/>
    </row>
    <row r="61" spans="1:8" ht="12.75" hidden="1">
      <c r="A61" s="10">
        <f>PRZEDMIAR!A61</f>
        <v>0</v>
      </c>
      <c r="B61" s="10">
        <f>PRZEDMIAR!B61</f>
        <v>0</v>
      </c>
      <c r="C61" s="10">
        <f>PRZEDMIAR!C61</f>
        <v>0</v>
      </c>
      <c r="D61" s="15" t="str">
        <f>PRZEDMIAR!D61</f>
        <v>skropienie warstw niebitumicznych</v>
      </c>
      <c r="E61" s="10">
        <f>PRZEDMIAR!E61</f>
        <v>0</v>
      </c>
      <c r="F61" s="10">
        <f>PRZEDMIAR!F61</f>
        <v>0</v>
      </c>
      <c r="G61" s="16"/>
      <c r="H61" s="16"/>
    </row>
    <row r="62" spans="1:8" ht="20.25" customHeight="1" hidden="1">
      <c r="A62" s="10">
        <f>PRZEDMIAR!A62</f>
        <v>0</v>
      </c>
      <c r="B62" s="10">
        <f>PRZEDMIAR!B62</f>
        <v>0</v>
      </c>
      <c r="C62" s="10">
        <f>PRZEDMIAR!C62</f>
        <v>0</v>
      </c>
      <c r="D62" s="15">
        <f>PRZEDMIAR!D62</f>
        <v>63.1</v>
      </c>
      <c r="E62" s="10" t="str">
        <f>PRZEDMIAR!E62</f>
        <v>m2</v>
      </c>
      <c r="F62" s="10">
        <f>PRZEDMIAR!F62</f>
        <v>63.1</v>
      </c>
      <c r="G62" s="16"/>
      <c r="H62" s="16"/>
    </row>
    <row r="63" spans="1:8" ht="30" customHeight="1">
      <c r="A63" s="14" t="str">
        <f>PRZEDMIAR!A63</f>
        <v>x</v>
      </c>
      <c r="B63" s="14" t="str">
        <f>PRZEDMIAR!B63</f>
        <v>D 04.04.04</v>
      </c>
      <c r="C63" s="14"/>
      <c r="D63" s="23" t="str">
        <f>PRZEDMIAR!D63</f>
        <v>Podbudowa z tłucznia kamiennego</v>
      </c>
      <c r="E63" s="14" t="str">
        <f>PRZEDMIAR!E63</f>
        <v>x</v>
      </c>
      <c r="F63" s="14" t="str">
        <f>PRZEDMIAR!F63</f>
        <v>x</v>
      </c>
      <c r="G63" s="27" t="s">
        <v>21</v>
      </c>
      <c r="H63" s="27" t="s">
        <v>21</v>
      </c>
    </row>
    <row r="64" spans="1:8" ht="30" customHeight="1">
      <c r="A64" s="10">
        <f>PRZEDMIAR!A64</f>
        <v>11</v>
      </c>
      <c r="B64" s="10" t="str">
        <f>PRZEDMIAR!B64</f>
        <v>D 04.04.04</v>
      </c>
      <c r="C64" s="10" t="str">
        <f>PRZEDMIAR!C64</f>
        <v>24</v>
      </c>
      <c r="D64" s="15" t="str">
        <f>PRZEDMIAR!D64</f>
        <v>Wykonanie podbudowy z tłucznia kamiennego 0/31,5, gr. w-wy 20cm</v>
      </c>
      <c r="E64" s="10" t="str">
        <f>PRZEDMIAR!E64</f>
        <v>m2</v>
      </c>
      <c r="F64" s="10">
        <f>PRZEDMIAR!F64</f>
        <v>63.1</v>
      </c>
      <c r="G64" s="16"/>
      <c r="H64" s="16" t="str">
        <f>IF(ROUND(F64*G64,2)=0," ",ROUND(F64*G64,2))</f>
        <v> </v>
      </c>
    </row>
    <row r="65" spans="1:8" ht="30" customHeight="1" hidden="1">
      <c r="A65" s="10">
        <f>PRZEDMIAR!A65</f>
        <v>0</v>
      </c>
      <c r="B65" s="10">
        <f>PRZEDMIAR!B65</f>
        <v>0</v>
      </c>
      <c r="C65" s="10">
        <f>PRZEDMIAR!C65</f>
        <v>0</v>
      </c>
      <c r="D65" s="15" t="str">
        <f>PRZEDMIAR!D65</f>
        <v>Wykonanie podbudowy z tłucznia kamiennego 0/31,5, gr. w-wy 20cm. Obmiar wg tab. 2</v>
      </c>
      <c r="E65" s="10">
        <f>PRZEDMIAR!E65</f>
        <v>0</v>
      </c>
      <c r="F65" s="10">
        <f>PRZEDMIAR!F65</f>
        <v>0</v>
      </c>
      <c r="G65" s="16"/>
      <c r="H65" s="16"/>
    </row>
    <row r="66" spans="1:8" ht="12.75" hidden="1">
      <c r="A66" s="10">
        <f>PRZEDMIAR!A66</f>
        <v>0</v>
      </c>
      <c r="B66" s="10">
        <f>PRZEDMIAR!B66</f>
        <v>0</v>
      </c>
      <c r="C66" s="10">
        <f>PRZEDMIAR!C66</f>
        <v>0</v>
      </c>
      <c r="D66" s="15">
        <f>PRZEDMIAR!D66</f>
        <v>63.1</v>
      </c>
      <c r="E66" s="10" t="str">
        <f>PRZEDMIAR!E66</f>
        <v>m2</v>
      </c>
      <c r="F66" s="10">
        <f>PRZEDMIAR!F66</f>
        <v>63.1</v>
      </c>
      <c r="G66" s="16"/>
      <c r="H66" s="16"/>
    </row>
    <row r="67" spans="1:8" ht="12.75" hidden="1">
      <c r="A67" s="10" t="e">
        <f>PRZEDMIAR!#REF!</f>
        <v>#REF!</v>
      </c>
      <c r="B67" s="10" t="e">
        <f>PRZEDMIAR!#REF!</f>
        <v>#REF!</v>
      </c>
      <c r="C67" s="10" t="e">
        <f>PRZEDMIAR!#REF!</f>
        <v>#REF!</v>
      </c>
      <c r="D67" s="15" t="e">
        <f>PRZEDMIAR!#REF!</f>
        <v>#REF!</v>
      </c>
      <c r="E67" s="10" t="e">
        <f>PRZEDMIAR!#REF!</f>
        <v>#REF!</v>
      </c>
      <c r="F67" s="10" t="e">
        <f>PRZEDMIAR!#REF!</f>
        <v>#REF!</v>
      </c>
      <c r="G67" s="16"/>
      <c r="H67" s="16"/>
    </row>
    <row r="68" spans="1:8" ht="18.75" customHeight="1" hidden="1">
      <c r="A68" s="10" t="e">
        <f>PRZEDMIAR!#REF!</f>
        <v>#REF!</v>
      </c>
      <c r="B68" s="10" t="e">
        <f>PRZEDMIAR!#REF!</f>
        <v>#REF!</v>
      </c>
      <c r="C68" s="10" t="e">
        <f>PRZEDMIAR!#REF!</f>
        <v>#REF!</v>
      </c>
      <c r="D68" s="15" t="e">
        <f>PRZEDMIAR!#REF!</f>
        <v>#REF!</v>
      </c>
      <c r="E68" s="10" t="e">
        <f>PRZEDMIAR!#REF!</f>
        <v>#REF!</v>
      </c>
      <c r="F68" s="10" t="e">
        <f>PRZEDMIAR!#REF!</f>
        <v>#REF!</v>
      </c>
      <c r="G68" s="16"/>
      <c r="H68" s="16"/>
    </row>
    <row r="69" spans="1:10" ht="32.25" customHeight="1">
      <c r="A69" s="10"/>
      <c r="B69" s="14"/>
      <c r="C69" s="22"/>
      <c r="D69" s="222" t="str">
        <f>PRZEDMIAR!D67</f>
        <v>OGÓŁEM: PODBUDOWY</v>
      </c>
      <c r="E69" s="223"/>
      <c r="F69" s="223"/>
      <c r="G69" s="224"/>
      <c r="H69" s="138" t="str">
        <f>IF(SUM(H43,H47,H51,H57,H64)=0," ",SUM(H43,H47,H51,H57,H64))</f>
        <v> </v>
      </c>
      <c r="J69" s="126"/>
    </row>
    <row r="70" spans="1:8" s="78" customFormat="1" ht="30" customHeight="1">
      <c r="A70" s="60" t="str">
        <f>PRZEDMIAR!A68</f>
        <v>1.4</v>
      </c>
      <c r="B70" s="60" t="str">
        <f>PRZEDMIAR!B68</f>
        <v>D 05.00.00</v>
      </c>
      <c r="C70" s="60"/>
      <c r="D70" s="61" t="str">
        <f>PRZEDMIAR!D68</f>
        <v>NAWIERZCHNIE</v>
      </c>
      <c r="E70" s="60" t="str">
        <f>PRZEDMIAR!E68</f>
        <v>x</v>
      </c>
      <c r="F70" s="60" t="str">
        <f>PRZEDMIAR!F68</f>
        <v>x</v>
      </c>
      <c r="G70" s="60" t="s">
        <v>21</v>
      </c>
      <c r="H70" s="60" t="s">
        <v>21</v>
      </c>
    </row>
    <row r="71" spans="1:8" ht="30" customHeight="1">
      <c r="A71" s="14" t="str">
        <f>PRZEDMIAR!A69</f>
        <v>x</v>
      </c>
      <c r="B71" s="14" t="str">
        <f>PRZEDMIAR!B69</f>
        <v>D 05.03.05</v>
      </c>
      <c r="C71" s="14"/>
      <c r="D71" s="23" t="str">
        <f>PRZEDMIAR!D69</f>
        <v>Nawierzchnia z betonu asfaltowego</v>
      </c>
      <c r="E71" s="14" t="str">
        <f>PRZEDMIAR!E69</f>
        <v>x</v>
      </c>
      <c r="F71" s="14" t="str">
        <f>PRZEDMIAR!F69</f>
        <v>x</v>
      </c>
      <c r="G71" s="16" t="s">
        <v>21</v>
      </c>
      <c r="H71" s="16" t="s">
        <v>21</v>
      </c>
    </row>
    <row r="72" spans="1:8" ht="38.25">
      <c r="A72" s="10">
        <f>PRZEDMIAR!A70</f>
        <v>12</v>
      </c>
      <c r="B72" s="10" t="str">
        <f>PRZEDMIAR!B70</f>
        <v>D 05.03.05</v>
      </c>
      <c r="C72" s="10" t="str">
        <f>PRZEDMIAR!C70</f>
        <v>11</v>
      </c>
      <c r="D72" s="15" t="str">
        <f>PRZEDMIAR!D70</f>
        <v>Wykonanie nawierzchni z betonu asfaltowego AC16W, warstwa ochronna/wiążąca gr. w-wy 4 cm (na moście) i 5 cm (na odcinku drogi) - analogia</v>
      </c>
      <c r="E72" s="10" t="str">
        <f>PRZEDMIAR!E70</f>
        <v>m2</v>
      </c>
      <c r="F72" s="10">
        <f>PRZEDMIAR!F70</f>
        <v>231.7</v>
      </c>
      <c r="G72" s="16"/>
      <c r="H72" s="16" t="str">
        <f>IF(ROUND(F72*G72,2)=0," ",ROUND(F72*G72,2))</f>
        <v> </v>
      </c>
    </row>
    <row r="73" spans="1:8" ht="30" customHeight="1" hidden="1">
      <c r="A73" s="10">
        <f>PRZEDMIAR!A71</f>
        <v>0</v>
      </c>
      <c r="B73" s="10">
        <f>PRZEDMIAR!B71</f>
        <v>0</v>
      </c>
      <c r="C73" s="10">
        <f>PRZEDMIAR!C71</f>
        <v>0</v>
      </c>
      <c r="D73" s="15" t="str">
        <f>PRZEDMIAR!D71</f>
        <v>Wykonanie nawierzchni z betonu asfaltowego AC16W warstwa ochronną na moście, gr. w-wy 4cm. Obmiar wg tab. 2</v>
      </c>
      <c r="E73" s="10">
        <f>PRZEDMIAR!E71</f>
        <v>0</v>
      </c>
      <c r="F73" s="10">
        <f>PRZEDMIAR!F71</f>
        <v>0</v>
      </c>
      <c r="G73" s="16"/>
      <c r="H73" s="16"/>
    </row>
    <row r="74" spans="1:8" ht="30" customHeight="1" hidden="1">
      <c r="A74" s="10">
        <f>PRZEDMIAR!A72</f>
        <v>0</v>
      </c>
      <c r="B74" s="10">
        <f>PRZEDMIAR!B72</f>
        <v>0</v>
      </c>
      <c r="C74" s="10">
        <f>PRZEDMIAR!C72</f>
        <v>0</v>
      </c>
      <c r="D74" s="15">
        <f>PRZEDMIAR!D72</f>
        <v>125.39999999999999</v>
      </c>
      <c r="E74" s="10" t="str">
        <f>PRZEDMIAR!E72</f>
        <v>m2</v>
      </c>
      <c r="F74" s="10">
        <f>PRZEDMIAR!F72</f>
        <v>125.39999999999999</v>
      </c>
      <c r="G74" s="16"/>
      <c r="H74" s="16"/>
    </row>
    <row r="75" spans="1:8" ht="30" customHeight="1">
      <c r="A75" s="10">
        <f>PRZEDMIAR!A75</f>
        <v>13</v>
      </c>
      <c r="B75" s="10" t="str">
        <f>PRZEDMIAR!B75</f>
        <v>D 05.03.05</v>
      </c>
      <c r="C75" s="10" t="str">
        <f>PRZEDMIAR!C75</f>
        <v>26</v>
      </c>
      <c r="D75" s="15" t="str">
        <f>PRZEDMIAR!D75</f>
        <v>Wykonanie nawierzchni z betonu asfaltowego AC11S warstwa ścieralna gr. w-wy 4cm</v>
      </c>
      <c r="E75" s="10" t="str">
        <f>PRZEDMIAR!E75</f>
        <v>m2</v>
      </c>
      <c r="F75" s="10">
        <f>PRZEDMIAR!F75</f>
        <v>233.8</v>
      </c>
      <c r="G75" s="16"/>
      <c r="H75" s="16" t="str">
        <f>IF(ROUND(F75*G75,2)=0," ",ROUND(F75*G75,2))</f>
        <v> </v>
      </c>
    </row>
    <row r="76" spans="1:8" ht="25.5" hidden="1">
      <c r="A76" s="10">
        <f>PRZEDMIAR!A76</f>
        <v>0</v>
      </c>
      <c r="B76" s="10">
        <f>PRZEDMIAR!B76</f>
        <v>0</v>
      </c>
      <c r="C76" s="10">
        <f>PRZEDMIAR!C76</f>
        <v>0</v>
      </c>
      <c r="D76" s="15" t="str">
        <f>PRZEDMIAR!D76</f>
        <v>Wykonanie nawierzchni z betonu asfaltowego o uziarnieniu 0/12,8 warstwa ścieralna gr. w-wy 4cm - na obiekcie i na dojazdach. Obmiar wg tab. 2</v>
      </c>
      <c r="E76" s="10">
        <f>PRZEDMIAR!E76</f>
        <v>0</v>
      </c>
      <c r="F76" s="10">
        <f>PRZEDMIAR!F76</f>
        <v>0</v>
      </c>
      <c r="G76" s="16"/>
      <c r="H76" s="16"/>
    </row>
    <row r="77" spans="1:8" ht="30" customHeight="1" hidden="1">
      <c r="A77" s="10">
        <f>PRZEDMIAR!A77</f>
        <v>0</v>
      </c>
      <c r="B77" s="10">
        <f>PRZEDMIAR!B77</f>
        <v>0</v>
      </c>
      <c r="C77" s="10">
        <f>PRZEDMIAR!C77</f>
        <v>0</v>
      </c>
      <c r="D77" s="15">
        <f>PRZEDMIAR!D77</f>
        <v>233.8</v>
      </c>
      <c r="E77" s="10" t="str">
        <f>PRZEDMIAR!E77</f>
        <v>m2</v>
      </c>
      <c r="F77" s="10">
        <f>PRZEDMIAR!F77</f>
        <v>233.8</v>
      </c>
      <c r="G77" s="16"/>
      <c r="H77" s="16"/>
    </row>
    <row r="78" spans="1:10" ht="32.25" customHeight="1">
      <c r="A78" s="10"/>
      <c r="B78" s="14"/>
      <c r="C78" s="22"/>
      <c r="D78" s="222" t="str">
        <f>PRZEDMIAR!D78</f>
        <v>OGÓŁEM: NAWIERZCHNIE</v>
      </c>
      <c r="E78" s="223"/>
      <c r="F78" s="223"/>
      <c r="G78" s="224"/>
      <c r="H78" s="138" t="str">
        <f>IF(SUM(H72,H75)=0," ",SUM(H72,H75))</f>
        <v> </v>
      </c>
      <c r="J78" s="126"/>
    </row>
    <row r="79" spans="1:10" ht="32.25" customHeight="1">
      <c r="A79" s="60" t="str">
        <f>PRZEDMIAR!A79</f>
        <v>1.5</v>
      </c>
      <c r="B79" s="60" t="str">
        <f>PRZEDMIAR!B79</f>
        <v>D 06.00.00</v>
      </c>
      <c r="C79" s="60"/>
      <c r="D79" s="61" t="str">
        <f>PRZEDMIAR!D79</f>
        <v>ROBOTY WYKOŃCZENIOWE</v>
      </c>
      <c r="E79" s="60" t="str">
        <f>PRZEDMIAR!E79</f>
        <v>x</v>
      </c>
      <c r="F79" s="60" t="str">
        <f>PRZEDMIAR!F79</f>
        <v>x</v>
      </c>
      <c r="G79" s="60" t="s">
        <v>21</v>
      </c>
      <c r="H79" s="60" t="s">
        <v>21</v>
      </c>
      <c r="J79" s="126"/>
    </row>
    <row r="80" spans="1:10" ht="32.25" customHeight="1">
      <c r="A80" s="14" t="str">
        <f>PRZEDMIAR!A80</f>
        <v>x</v>
      </c>
      <c r="B80" s="14" t="str">
        <f>PRZEDMIAR!B80</f>
        <v>D 06.01.01</v>
      </c>
      <c r="C80" s="14"/>
      <c r="D80" s="14" t="str">
        <f>PRZEDMIAR!D80</f>
        <v>Umocnienie skarp, rowów i ścieków</v>
      </c>
      <c r="E80" s="14" t="str">
        <f>PRZEDMIAR!E80</f>
        <v>x</v>
      </c>
      <c r="F80" s="14" t="str">
        <f>PRZEDMIAR!F80</f>
        <v>x</v>
      </c>
      <c r="G80" s="16" t="s">
        <v>21</v>
      </c>
      <c r="H80" s="16" t="s">
        <v>21</v>
      </c>
      <c r="J80" s="126"/>
    </row>
    <row r="81" spans="1:10" ht="32.25" customHeight="1">
      <c r="A81" s="10">
        <f>PRZEDMIAR!A81</f>
        <v>14</v>
      </c>
      <c r="B81" s="10" t="str">
        <f>PRZEDMIAR!B81</f>
        <v>D 06.01.01</v>
      </c>
      <c r="C81" s="10" t="str">
        <f>PRZEDMIAR!C81</f>
        <v>02
04</v>
      </c>
      <c r="D81" s="15" t="str">
        <f>PRZEDMIAR!D81</f>
        <v>Reczne plantowanie skarp i dna wykopów oraz korony nasypów w gruntach kat. I III</v>
      </c>
      <c r="E81" s="10" t="str">
        <f>PRZEDMIAR!E81</f>
        <v>m2</v>
      </c>
      <c r="F81" s="10">
        <f>PRZEDMIAR!F81</f>
        <v>59.5</v>
      </c>
      <c r="G81" s="16"/>
      <c r="H81" s="16" t="str">
        <f>IF(ROUND(F81*G81,2)=0," ",ROUND(F81*G81,2))</f>
        <v> </v>
      </c>
      <c r="J81" s="126"/>
    </row>
    <row r="82" spans="1:10" ht="32.25" customHeight="1" hidden="1">
      <c r="A82" s="10">
        <f>PRZEDMIAR!A82</f>
        <v>0</v>
      </c>
      <c r="B82" s="10">
        <f>PRZEDMIAR!B82</f>
        <v>0</v>
      </c>
      <c r="C82" s="10">
        <f>PRZEDMIAR!C82</f>
        <v>0</v>
      </c>
      <c r="D82" s="15" t="str">
        <f>PRZEDMIAR!D82</f>
        <v>Powierzchnia umocnień stożków  i skarpy drogi (wg tabeli 4):</v>
      </c>
      <c r="E82" s="10">
        <f>PRZEDMIAR!E82</f>
        <v>0</v>
      </c>
      <c r="F82" s="10">
        <f>PRZEDMIAR!F82</f>
        <v>59.5</v>
      </c>
      <c r="G82" s="16"/>
      <c r="H82" s="16" t="str">
        <f aca="true" t="shared" si="2" ref="H82:H87">IF(ROUND(F82*G82,2)=0," ",ROUND(F82*G82,2))</f>
        <v> </v>
      </c>
      <c r="J82" s="126"/>
    </row>
    <row r="83" spans="1:10" ht="32.25" customHeight="1">
      <c r="A83" s="10">
        <f>PRZEDMIAR!A83</f>
        <v>15</v>
      </c>
      <c r="B83" s="10" t="str">
        <f>PRZEDMIAR!B83</f>
        <v>D 06.01.01</v>
      </c>
      <c r="C83" s="10">
        <f>PRZEDMIAR!C83</f>
        <v>22</v>
      </c>
      <c r="D83" s="15" t="str">
        <f>PRZEDMIAR!D83</f>
        <v>Humusowanie z obsianiem skarp przy grubości humusu 5cm</v>
      </c>
      <c r="E83" s="10" t="str">
        <f>PRZEDMIAR!E83</f>
        <v>m2</v>
      </c>
      <c r="F83" s="10">
        <f>PRZEDMIAR!F83</f>
        <v>71</v>
      </c>
      <c r="G83" s="16"/>
      <c r="H83" s="16" t="str">
        <f t="shared" si="2"/>
        <v> </v>
      </c>
      <c r="J83" s="126"/>
    </row>
    <row r="84" spans="1:10" ht="32.25" customHeight="1" hidden="1">
      <c r="A84" s="10">
        <f>PRZEDMIAR!A84</f>
        <v>0</v>
      </c>
      <c r="B84" s="10">
        <f>PRZEDMIAR!B84</f>
        <v>0</v>
      </c>
      <c r="C84" s="10">
        <f>PRZEDMIAR!C84</f>
        <v>0</v>
      </c>
      <c r="D84" s="15" t="str">
        <f>PRZEDMIAR!D84</f>
        <v>Powierzchnia humusowania wg tabeli 3: A=71m2</v>
      </c>
      <c r="E84" s="10">
        <f>PRZEDMIAR!E84</f>
        <v>0</v>
      </c>
      <c r="F84" s="10">
        <f>PRZEDMIAR!F84</f>
        <v>71</v>
      </c>
      <c r="G84" s="16"/>
      <c r="H84" s="16" t="str">
        <f t="shared" si="2"/>
        <v> </v>
      </c>
      <c r="J84" s="126"/>
    </row>
    <row r="85" spans="1:10" ht="38.25">
      <c r="A85" s="10">
        <f>PRZEDMIAR!A85</f>
        <v>16</v>
      </c>
      <c r="B85" s="10" t="str">
        <f>PRZEDMIAR!B85</f>
        <v>D 06.01.03</v>
      </c>
      <c r="C85" s="10" t="str">
        <f>PRZEDMIAR!C85</f>
        <v>26</v>
      </c>
      <c r="D85" s="15" t="str">
        <f>PRZEDMIAR!D85</f>
        <v>Umocnienie dna rowu i ścieków brukowcem o gr. 16-20 cm z kamienia łamanego, układanego na podsypce cementowo-piaskowej, spoiny wypełnione zaprawą cementową</v>
      </c>
      <c r="E85" s="10" t="str">
        <f>PRZEDMIAR!E85</f>
        <v>m2</v>
      </c>
      <c r="F85" s="10">
        <f>PRZEDMIAR!F85</f>
        <v>70.1</v>
      </c>
      <c r="G85" s="16"/>
      <c r="H85" s="16" t="str">
        <f t="shared" si="2"/>
        <v> </v>
      </c>
      <c r="J85" s="126"/>
    </row>
    <row r="86" spans="1:10" ht="32.25" customHeight="1" hidden="1">
      <c r="A86" s="10">
        <f>PRZEDMIAR!A86</f>
        <v>0</v>
      </c>
      <c r="B86" s="10">
        <f>PRZEDMIAR!B86</f>
        <v>0</v>
      </c>
      <c r="C86" s="10">
        <f>PRZEDMIAR!C86</f>
        <v>0</v>
      </c>
      <c r="D86" s="15" t="str">
        <f>PRZEDMIAR!D86</f>
        <v>Umocnienie rowu od strony dr. Wojewódzkiej i skarpy przy skrzydle. Rów A=L*b=24*2,4=57,6. Skarpa A=2,5*5=12,5</v>
      </c>
      <c r="E86" s="10">
        <f>PRZEDMIAR!E86</f>
        <v>0</v>
      </c>
      <c r="F86" s="10">
        <f>PRZEDMIAR!F86</f>
        <v>70.1</v>
      </c>
      <c r="G86" s="16"/>
      <c r="H86" s="16" t="str">
        <f t="shared" si="2"/>
        <v> </v>
      </c>
      <c r="J86" s="126"/>
    </row>
    <row r="87" spans="1:10" ht="38.25">
      <c r="A87" s="10">
        <f>PRZEDMIAR!A87</f>
        <v>17</v>
      </c>
      <c r="B87" s="10" t="str">
        <f>PRZEDMIAR!B87</f>
        <v>D 06.01.06</v>
      </c>
      <c r="C87" s="10" t="str">
        <f>PRZEDMIAR!C87</f>
        <v>21</v>
      </c>
      <c r="D87" s="15" t="str">
        <f>PRZEDMIAR!D87</f>
        <v>Umocnienie skarp płytami ażurowymi 60x40x10 cm (35 kg/szt.). Wypełnienie wolnych przestrzeni humusem i obsianie trawą, podsypka cem.-piaskowa 5cm. Płyty kotwione do skarpy.</v>
      </c>
      <c r="E87" s="10" t="str">
        <f>PRZEDMIAR!E87</f>
        <v>m2</v>
      </c>
      <c r="F87" s="10">
        <f>PRZEDMIAR!F87</f>
        <v>59.5</v>
      </c>
      <c r="G87" s="16"/>
      <c r="H87" s="16" t="str">
        <f t="shared" si="2"/>
        <v> </v>
      </c>
      <c r="J87" s="126"/>
    </row>
    <row r="88" spans="1:10" ht="32.25" customHeight="1" hidden="1">
      <c r="A88" s="10">
        <f>PRZEDMIAR!A88</f>
        <v>0</v>
      </c>
      <c r="B88" s="10">
        <f>PRZEDMIAR!B88</f>
        <v>0</v>
      </c>
      <c r="C88" s="10">
        <f>PRZEDMIAR!C88</f>
        <v>0</v>
      </c>
      <c r="D88" s="15" t="str">
        <f>PRZEDMIAR!D88</f>
        <v>Umocnienie skarp odcinka drogi od strony Jaślisk. Obmiar wg tabeli 4: A=59,5m2</v>
      </c>
      <c r="E88" s="10">
        <f>PRZEDMIAR!E88</f>
        <v>0</v>
      </c>
      <c r="F88" s="10">
        <f>PRZEDMIAR!F88</f>
        <v>59.5</v>
      </c>
      <c r="G88" s="16"/>
      <c r="H88" s="16"/>
      <c r="J88" s="126"/>
    </row>
    <row r="89" spans="1:10" ht="32.25" customHeight="1">
      <c r="A89" s="10"/>
      <c r="B89" s="14"/>
      <c r="C89" s="22"/>
      <c r="D89" s="222" t="str">
        <f>PRZEDMIAR!D89</f>
        <v>OGÓŁEM: ROBOTY WYKOŃCZENIOWE</v>
      </c>
      <c r="E89" s="223"/>
      <c r="F89" s="223"/>
      <c r="G89" s="224"/>
      <c r="H89" s="138" t="str">
        <f>IF(SUM(H81,H83,H85,H87)=0," ",SUM(H81,H83,H85,H87))</f>
        <v> </v>
      </c>
      <c r="J89" s="126"/>
    </row>
    <row r="90" spans="1:8" s="78" customFormat="1" ht="30" customHeight="1">
      <c r="A90" s="60" t="str">
        <f>PRZEDMIAR!A90</f>
        <v>1.6</v>
      </c>
      <c r="B90" s="60" t="str">
        <f>PRZEDMIAR!B90</f>
        <v>D 07.00.00</v>
      </c>
      <c r="C90" s="60"/>
      <c r="D90" s="61" t="str">
        <f>PRZEDMIAR!D90</f>
        <v>OZNAKOWANIE I URZĄDZENIA BEZPIECZEŃSTWA RUCHU</v>
      </c>
      <c r="E90" s="60" t="str">
        <f>PRZEDMIAR!E90</f>
        <v>x</v>
      </c>
      <c r="F90" s="60" t="str">
        <f>PRZEDMIAR!F90</f>
        <v>x</v>
      </c>
      <c r="G90" s="60" t="s">
        <v>21</v>
      </c>
      <c r="H90" s="60" t="s">
        <v>21</v>
      </c>
    </row>
    <row r="91" spans="1:8" s="78" customFormat="1" ht="30" customHeight="1">
      <c r="A91" s="14" t="str">
        <f>PRZEDMIAR!A91</f>
        <v>x</v>
      </c>
      <c r="B91" s="14" t="str">
        <f>PRZEDMIAR!B91</f>
        <v>D 07.01.01</v>
      </c>
      <c r="C91" s="14"/>
      <c r="D91" s="23" t="str">
        <f>PRZEDMIAR!D91</f>
        <v>Oznakowanie poziome</v>
      </c>
      <c r="E91" s="14" t="str">
        <f>PRZEDMIAR!E91</f>
        <v>x</v>
      </c>
      <c r="F91" s="14" t="str">
        <f>PRZEDMIAR!F91</f>
        <v>x</v>
      </c>
      <c r="G91" s="16" t="s">
        <v>21</v>
      </c>
      <c r="H91" s="16" t="s">
        <v>21</v>
      </c>
    </row>
    <row r="92" spans="1:8" s="78" customFormat="1" ht="30" customHeight="1">
      <c r="A92" s="10">
        <f>PRZEDMIAR!A92</f>
        <v>18</v>
      </c>
      <c r="B92" s="10" t="str">
        <f>PRZEDMIAR!B92</f>
        <v>D 07.01.01</v>
      </c>
      <c r="C92" s="10" t="str">
        <f>PRZEDMIAR!C92</f>
        <v>03</v>
      </c>
      <c r="D92" s="15" t="str">
        <f>PRZEDMIAR!D92</f>
        <v>Oznakowanie poziome masami termoplastycznymi (grubość warstwy 3-4mm)</v>
      </c>
      <c r="E92" s="10" t="str">
        <f>PRZEDMIAR!E92</f>
        <v>m2</v>
      </c>
      <c r="F92" s="10">
        <f>PRZEDMIAR!F92</f>
        <v>51.72</v>
      </c>
      <c r="G92" s="16"/>
      <c r="H92" s="16" t="str">
        <f>IF(ROUND(F92*G92,2)=0," ",ROUND(F92*G92,2))</f>
        <v> </v>
      </c>
    </row>
    <row r="93" spans="1:8" s="78" customFormat="1" ht="30" customHeight="1" hidden="1">
      <c r="A93" s="10">
        <f>PRZEDMIAR!A93</f>
        <v>0</v>
      </c>
      <c r="B93" s="10">
        <f>PRZEDMIAR!B93</f>
        <v>0</v>
      </c>
      <c r="C93" s="10">
        <f>PRZEDMIAR!C93</f>
        <v>0</v>
      </c>
      <c r="D93" s="15" t="str">
        <f>PRZEDMIAR!D93</f>
        <v>Linia ciągła szerokości 12 cm "odgrodzenia" ciągu pieszego od ruchu pojazdów na długości obiektu i po 5m na długości dojazdów. Linię wykonać od strony górnej wody w odległości 1,25m od krawędzi belki poręczowej (lokalizacja zostanie uzgodniona z Inwestorem). L=5+21+5=31m</v>
      </c>
      <c r="E93" s="10">
        <f>PRZEDMIAR!E93</f>
        <v>0</v>
      </c>
      <c r="F93" s="10">
        <f>PRZEDMIAR!F93</f>
        <v>3.7199999999999998</v>
      </c>
      <c r="G93" s="16">
        <v>151.87</v>
      </c>
      <c r="H93" s="16">
        <f>IF(ROUND(F93*G93,2)=0," ",ROUND(F93*G93,2))</f>
        <v>564.96</v>
      </c>
    </row>
    <row r="94" spans="1:8" ht="30" customHeight="1">
      <c r="A94" s="14" t="str">
        <f>PRZEDMIAR!A94</f>
        <v>x</v>
      </c>
      <c r="B94" s="14" t="str">
        <f>PRZEDMIAR!B94</f>
        <v>D 07.05.01</v>
      </c>
      <c r="C94" s="14"/>
      <c r="D94" s="23" t="str">
        <f>PRZEDMIAR!D94</f>
        <v>Bariery ochronne stalowe</v>
      </c>
      <c r="E94" s="14" t="str">
        <f>PRZEDMIAR!E94</f>
        <v>x</v>
      </c>
      <c r="F94" s="14" t="str">
        <f>PRZEDMIAR!F94</f>
        <v>x</v>
      </c>
      <c r="G94" s="16" t="s">
        <v>21</v>
      </c>
      <c r="H94" s="16" t="s">
        <v>21</v>
      </c>
    </row>
    <row r="95" spans="1:8" ht="30" customHeight="1">
      <c r="A95" s="10">
        <f>PRZEDMIAR!A95</f>
        <v>19</v>
      </c>
      <c r="B95" s="10" t="str">
        <f>PRZEDMIAR!B95</f>
        <v>D 07.05.01</v>
      </c>
      <c r="C95" s="10">
        <f>PRZEDMIAR!C95</f>
        <v>11</v>
      </c>
      <c r="D95" s="15" t="str">
        <f>PRZEDMIAR!D95</f>
        <v>Ustawienie barier ochronnych stalowych jednostronnych - przekładkowych typu SP-04</v>
      </c>
      <c r="E95" s="10" t="str">
        <f>PRZEDMIAR!E95</f>
        <v>m</v>
      </c>
      <c r="F95" s="10">
        <f>PRZEDMIAR!F95</f>
        <v>24</v>
      </c>
      <c r="G95" s="16"/>
      <c r="H95" s="16" t="str">
        <f>IF(ROUND(F95*G95,2)=0," ",ROUND(F95*G95,2))</f>
        <v> </v>
      </c>
    </row>
    <row r="96" spans="1:8" ht="30" customHeight="1" hidden="1">
      <c r="A96" s="10">
        <f>PRZEDMIAR!A96</f>
        <v>0</v>
      </c>
      <c r="B96" s="10">
        <f>PRZEDMIAR!B96</f>
        <v>0</v>
      </c>
      <c r="C96" s="10">
        <f>PRZEDMIAR!C96</f>
        <v>0</v>
      </c>
      <c r="D96" s="15" t="str">
        <f>PRZEDMIAR!D96</f>
        <v>Zakup, transport i montaż barier typu SP-04 wraz z elementami odblaskowymi co 4m z zakończeniem łącznikiem czołowym pojedyńczym. </v>
      </c>
      <c r="E96" s="10">
        <f>PRZEDMIAR!E96</f>
        <v>0</v>
      </c>
      <c r="F96" s="10">
        <f>PRZEDMIAR!F96</f>
        <v>0</v>
      </c>
      <c r="G96" s="16"/>
      <c r="H96" s="16"/>
    </row>
    <row r="97" spans="1:8" ht="30" customHeight="1" hidden="1">
      <c r="A97" s="10">
        <f>PRZEDMIAR!A97</f>
        <v>0</v>
      </c>
      <c r="B97" s="10">
        <f>PRZEDMIAR!B97</f>
        <v>0</v>
      </c>
      <c r="C97" s="10">
        <f>PRZEDMIAR!C97</f>
        <v>0</v>
      </c>
      <c r="D97" s="15" t="str">
        <f>PRZEDMIAR!D97</f>
        <v>12+12</v>
      </c>
      <c r="E97" s="10" t="str">
        <f>PRZEDMIAR!E97</f>
        <v>m</v>
      </c>
      <c r="F97" s="10">
        <f>PRZEDMIAR!F97</f>
        <v>24</v>
      </c>
      <c r="G97" s="16"/>
      <c r="H97" s="16"/>
    </row>
    <row r="98" spans="1:8" ht="30" customHeight="1">
      <c r="A98" s="14" t="str">
        <f>PRZEDMIAR!A98</f>
        <v>x</v>
      </c>
      <c r="B98" s="14" t="str">
        <f>PRZEDMIAR!B98</f>
        <v>D 07.06.06</v>
      </c>
      <c r="C98" s="14"/>
      <c r="D98" s="23" t="str">
        <f>PRZEDMIAR!D98</f>
        <v>Urządzenia - poręcze sztywne</v>
      </c>
      <c r="E98" s="10" t="str">
        <f>PRZEDMIAR!E98</f>
        <v>x</v>
      </c>
      <c r="F98" s="10" t="str">
        <f>PRZEDMIAR!F98</f>
        <v>x</v>
      </c>
      <c r="G98" s="16" t="s">
        <v>21</v>
      </c>
      <c r="H98" s="16" t="s">
        <v>21</v>
      </c>
    </row>
    <row r="99" spans="1:8" ht="30" customHeight="1">
      <c r="A99" s="10">
        <f>PRZEDMIAR!A99</f>
        <v>20</v>
      </c>
      <c r="B99" s="10" t="str">
        <f>PRZEDMIAR!B99</f>
        <v>D 07.06.06</v>
      </c>
      <c r="C99" s="10" t="str">
        <f>PRZEDMIAR!C99</f>
        <v>12</v>
      </c>
      <c r="D99" s="15" t="str">
        <f>PRZEDMIAR!D99</f>
        <v>Ustawienie poręczy ochronnych sztywnych z pochwytami i poręczami z rur stalowych oraz o rozstawie słupków z rur co 2,5m</v>
      </c>
      <c r="E99" s="10" t="str">
        <f>PRZEDMIAR!E99</f>
        <v>m</v>
      </c>
      <c r="F99" s="10">
        <f>PRZEDMIAR!F99</f>
        <v>10</v>
      </c>
      <c r="G99" s="151"/>
      <c r="H99" s="16" t="str">
        <f>IF(ROUND(F99*G99,2)=0," ",ROUND(F99*G99,2))</f>
        <v> </v>
      </c>
    </row>
    <row r="100" spans="1:8" ht="30" customHeight="1" hidden="1">
      <c r="A100" s="10">
        <f>PRZEDMIAR!A100</f>
        <v>0</v>
      </c>
      <c r="B100" s="10">
        <f>PRZEDMIAR!B100</f>
        <v>0</v>
      </c>
      <c r="C100" s="10">
        <f>PRZEDMIAR!C100</f>
        <v>0</v>
      </c>
      <c r="D100" s="15" t="str">
        <f>PRZEDMIAR!D100</f>
        <v>Ustawienie balustrady stalowej typu U-11a w linii balustrady na obiekcie na długości po 2,5m z każdej strony. L=2,5x4=10mb</v>
      </c>
      <c r="E100" s="10" t="str">
        <f>PRZEDMIAR!E100</f>
        <v>m</v>
      </c>
      <c r="F100" s="10">
        <f>PRZEDMIAR!F100</f>
        <v>10</v>
      </c>
      <c r="G100" s="151"/>
      <c r="H100" s="158"/>
    </row>
    <row r="101" spans="1:10" ht="32.25" customHeight="1">
      <c r="A101" s="10"/>
      <c r="B101" s="14"/>
      <c r="C101" s="22"/>
      <c r="D101" s="222" t="str">
        <f>PRZEDMIAR!D101</f>
        <v>OGÓŁEM: OZNAKOWANIE I URZĄDZENIA BEZPIECZEŃSTWA RUCHU</v>
      </c>
      <c r="E101" s="223"/>
      <c r="F101" s="223"/>
      <c r="G101" s="224"/>
      <c r="H101" s="138" t="str">
        <f>IF(SUM(H95,H99,H92)=0," ",SUM(H95,H99,H92))</f>
        <v> </v>
      </c>
      <c r="J101" s="126"/>
    </row>
    <row r="102" spans="1:8" s="78" customFormat="1" ht="30" customHeight="1">
      <c r="A102" s="60" t="str">
        <f>PRZEDMIAR!A102</f>
        <v>1.7</v>
      </c>
      <c r="B102" s="60" t="str">
        <f>PRZEDMIAR!B102</f>
        <v>D 08.00.00</v>
      </c>
      <c r="C102" s="60"/>
      <c r="D102" s="61" t="str">
        <f>PRZEDMIAR!D102</f>
        <v>ELEMENTY ULIC</v>
      </c>
      <c r="E102" s="60" t="str">
        <f>PRZEDMIAR!E102</f>
        <v>x</v>
      </c>
      <c r="F102" s="60" t="str">
        <f>PRZEDMIAR!F102</f>
        <v>x</v>
      </c>
      <c r="G102" s="60" t="s">
        <v>21</v>
      </c>
      <c r="H102" s="60" t="s">
        <v>21</v>
      </c>
    </row>
    <row r="103" spans="1:8" ht="30" customHeight="1">
      <c r="A103" s="14" t="str">
        <f>PRZEDMIAR!A103</f>
        <v>x</v>
      </c>
      <c r="B103" s="14" t="str">
        <f>PRZEDMIAR!B103</f>
        <v>D 08.01.01</v>
      </c>
      <c r="C103" s="14"/>
      <c r="D103" s="23" t="str">
        <f>PRZEDMIAR!D103</f>
        <v>Krawężniki betonowe</v>
      </c>
      <c r="E103" s="14" t="str">
        <f>PRZEDMIAR!E103</f>
        <v>x</v>
      </c>
      <c r="F103" s="14" t="str">
        <f>PRZEDMIAR!F103</f>
        <v>x</v>
      </c>
      <c r="G103" s="16" t="s">
        <v>21</v>
      </c>
      <c r="H103" s="16" t="s">
        <v>21</v>
      </c>
    </row>
    <row r="104" spans="1:8" ht="30" customHeight="1">
      <c r="A104" s="10">
        <f>PRZEDMIAR!A104</f>
        <v>21</v>
      </c>
      <c r="B104" s="10" t="str">
        <f>PRZEDMIAR!B104</f>
        <v>D 08.01.02</v>
      </c>
      <c r="C104" s="10" t="str">
        <f>PRZEDMIAR!C104</f>
        <v>12</v>
      </c>
      <c r="D104" s="15" t="str">
        <f>PRZEDMIAR!D104</f>
        <v>Ustawienie krawężników betonowych o wymiarach 20x30cm na ławie betonowej z oporem</v>
      </c>
      <c r="E104" s="10" t="str">
        <f>PRZEDMIAR!E104</f>
        <v>m</v>
      </c>
      <c r="F104" s="10">
        <f>PRZEDMIAR!F104</f>
        <v>12</v>
      </c>
      <c r="G104" s="16"/>
      <c r="H104" s="16" t="str">
        <f>IF(ROUND(F104*G104,2)=0," ",ROUND(F104*G104,2))</f>
        <v> </v>
      </c>
    </row>
    <row r="105" spans="1:8" ht="30" customHeight="1" hidden="1">
      <c r="A105" s="10">
        <f>PRZEDMIAR!A105</f>
        <v>0</v>
      </c>
      <c r="B105" s="10">
        <f>PRZEDMIAR!B105</f>
        <v>0</v>
      </c>
      <c r="C105" s="10">
        <f>PRZEDMIAR!C105</f>
        <v>0</v>
      </c>
      <c r="D105" s="15" t="str">
        <f>PRZEDMIAR!D105</f>
        <v>Obramowanie od strony jezdni na długości adaptacji dojazdów.</v>
      </c>
      <c r="E105" s="10">
        <f>PRZEDMIAR!E105</f>
        <v>0</v>
      </c>
      <c r="F105" s="10">
        <f>PRZEDMIAR!F105</f>
        <v>0</v>
      </c>
      <c r="G105" s="16"/>
      <c r="H105" s="16"/>
    </row>
    <row r="106" spans="1:8" ht="30" customHeight="1" hidden="1">
      <c r="A106" s="10">
        <f>PRZEDMIAR!A106</f>
        <v>0</v>
      </c>
      <c r="B106" s="10">
        <f>PRZEDMIAR!B106</f>
        <v>0</v>
      </c>
      <c r="C106" s="10">
        <f>PRZEDMIAR!C106</f>
        <v>0</v>
      </c>
      <c r="D106" s="15" t="str">
        <f>PRZEDMIAR!D106</f>
        <v>3x4</v>
      </c>
      <c r="E106" s="10" t="str">
        <f>PRZEDMIAR!E106</f>
        <v>m</v>
      </c>
      <c r="F106" s="10">
        <f>PRZEDMIAR!F106</f>
        <v>12</v>
      </c>
      <c r="G106" s="16"/>
      <c r="H106" s="16"/>
    </row>
    <row r="107" spans="1:8" ht="30" customHeight="1">
      <c r="A107" s="14" t="str">
        <f>PRZEDMIAR!A107</f>
        <v>x</v>
      </c>
      <c r="B107" s="14" t="str">
        <f>PRZEDMIAR!B107</f>
        <v>D 08.03.01</v>
      </c>
      <c r="C107" s="14">
        <f>PRZEDMIAR!C107</f>
        <v>0</v>
      </c>
      <c r="D107" s="14" t="str">
        <f>PRZEDMIAR!D107</f>
        <v>Obrzeża betonowe</v>
      </c>
      <c r="E107" s="14" t="str">
        <f>PRZEDMIAR!E107</f>
        <v>x</v>
      </c>
      <c r="F107" s="14" t="str">
        <f>PRZEDMIAR!F107</f>
        <v>x</v>
      </c>
      <c r="G107" s="16" t="s">
        <v>21</v>
      </c>
      <c r="H107" s="16" t="s">
        <v>21</v>
      </c>
    </row>
    <row r="108" spans="1:8" ht="30" customHeight="1">
      <c r="A108" s="10">
        <f>PRZEDMIAR!A108</f>
        <v>22</v>
      </c>
      <c r="B108" s="10" t="str">
        <f>PRZEDMIAR!B108</f>
        <v>D 08.03.01</v>
      </c>
      <c r="C108" s="10">
        <f>PRZEDMIAR!C108</f>
        <v>12</v>
      </c>
      <c r="D108" s="15" t="str">
        <f>PRZEDMIAR!D108</f>
        <v>Ustawienie obrzeży betonowych w wymiarach 8x30cm</v>
      </c>
      <c r="E108" s="10" t="str">
        <f>PRZEDMIAR!E108</f>
        <v>m</v>
      </c>
      <c r="F108" s="10">
        <f>PRZEDMIAR!F108</f>
        <v>17</v>
      </c>
      <c r="G108" s="151"/>
      <c r="H108" s="16" t="str">
        <f>IF(ROUND(F108*G108,2)=0," ",ROUND(F108*G108,2))</f>
        <v> </v>
      </c>
    </row>
    <row r="109" spans="1:8" ht="30" customHeight="1" hidden="1">
      <c r="A109" s="10">
        <f>PRZEDMIAR!A109</f>
        <v>0</v>
      </c>
      <c r="B109" s="10">
        <f>PRZEDMIAR!B109</f>
        <v>0</v>
      </c>
      <c r="C109" s="10">
        <f>PRZEDMIAR!C109</f>
        <v>0</v>
      </c>
      <c r="D109" s="15" t="str">
        <f>PRZEDMIAR!D109</f>
        <v>Ustawienie obrzeży betonowych w wymiarach 8x30cm na ławie betonowej z oporem w jako opornik pod umocnienia skarp drogi (wg rysunku ogólnego widok z góry): L=8,5*2=17m</v>
      </c>
      <c r="E109" s="10">
        <f>PRZEDMIAR!E109</f>
        <v>0</v>
      </c>
      <c r="F109" s="10">
        <f>PRZEDMIAR!F109</f>
        <v>17</v>
      </c>
      <c r="G109" s="151"/>
      <c r="H109" s="158"/>
    </row>
    <row r="110" spans="1:10" ht="32.25" customHeight="1">
      <c r="A110" s="10"/>
      <c r="B110" s="14"/>
      <c r="C110" s="22"/>
      <c r="D110" s="222" t="str">
        <f>PRZEDMIAR!D110</f>
        <v>OGÓŁEM: ELEMENTY ULIC</v>
      </c>
      <c r="E110" s="223"/>
      <c r="F110" s="223"/>
      <c r="G110" s="224"/>
      <c r="H110" s="138" t="str">
        <f>IF(SUM(H104,H108)=0," ",SUM(H104,H108))</f>
        <v> </v>
      </c>
      <c r="J110" s="126"/>
    </row>
    <row r="111" spans="1:11" ht="30" customHeight="1">
      <c r="A111" s="195" t="str">
        <f>PRZEDMIAR!A111</f>
        <v>OGÓŁEM: ROBOTY DROGOWE</v>
      </c>
      <c r="B111" s="195"/>
      <c r="C111" s="195"/>
      <c r="D111" s="195"/>
      <c r="E111" s="195"/>
      <c r="F111" s="195"/>
      <c r="G111" s="195"/>
      <c r="H111" s="54" t="str">
        <f>IF(SUM(H26,H40,H69,H78,H89,H101,H110)=0," ",SUM(H26,H40,H69,H78,H89,H101,H110))</f>
        <v> </v>
      </c>
      <c r="J111" s="126"/>
      <c r="K111" s="159"/>
    </row>
    <row r="112" spans="1:8" ht="30" customHeight="1">
      <c r="A112" s="101" t="str">
        <f>PRZEDMIAR!A112</f>
        <v>2.</v>
      </c>
      <c r="B112" s="193" t="str">
        <f>PRZEDMIAR!B112</f>
        <v>ROBOTY MOSTOWE</v>
      </c>
      <c r="C112" s="193"/>
      <c r="D112" s="193"/>
      <c r="E112" s="193"/>
      <c r="F112" s="193"/>
      <c r="G112" s="193"/>
      <c r="H112" s="194"/>
    </row>
    <row r="113" spans="1:8" ht="30" customHeight="1">
      <c r="A113" s="60" t="str">
        <f>PRZEDMIAR!A113</f>
        <v>x</v>
      </c>
      <c r="B113" s="60" t="str">
        <f>PRZEDMIAR!B113</f>
        <v>M 21.00.00</v>
      </c>
      <c r="C113" s="60"/>
      <c r="D113" s="61" t="str">
        <f>PRZEDMIAR!D113</f>
        <v>FUNDAMENTY</v>
      </c>
      <c r="E113" s="60" t="str">
        <f>PRZEDMIAR!E113</f>
        <v>x</v>
      </c>
      <c r="F113" s="60" t="str">
        <f>PRZEDMIAR!F113</f>
        <v>x</v>
      </c>
      <c r="G113" s="60" t="s">
        <v>21</v>
      </c>
      <c r="H113" s="60" t="s">
        <v>21</v>
      </c>
    </row>
    <row r="114" spans="1:8" ht="30" customHeight="1">
      <c r="A114" s="14" t="str">
        <f>PRZEDMIAR!A114</f>
        <v>2.1</v>
      </c>
      <c r="B114" s="14" t="str">
        <f>PRZEDMIAR!B114</f>
        <v>M 21.54.00</v>
      </c>
      <c r="C114" s="14"/>
      <c r="D114" s="23" t="str">
        <f>PRZEDMIAR!D114</f>
        <v>ŁAWY FUNDAMENTOWE</v>
      </c>
      <c r="E114" s="14" t="str">
        <f>PRZEDMIAR!E114</f>
        <v>x</v>
      </c>
      <c r="F114" s="14" t="str">
        <f>PRZEDMIAR!F114</f>
        <v>x</v>
      </c>
      <c r="G114" s="14" t="s">
        <v>21</v>
      </c>
      <c r="H114" s="14" t="s">
        <v>21</v>
      </c>
    </row>
    <row r="115" spans="1:8" ht="30" customHeight="1">
      <c r="A115" s="51" t="str">
        <f>PRZEDMIAR!A115</f>
        <v>x</v>
      </c>
      <c r="B115" s="51" t="str">
        <f>PRZEDMIAR!B115</f>
        <v>M 21.54.01</v>
      </c>
      <c r="C115" s="51"/>
      <c r="D115" s="52" t="str">
        <f>PRZEDMIAR!D115</f>
        <v>WZMACNIANIE ŁAWY POPRZEZ ZWIEKSZENIE JEJ WYMIARÓW - ZBROJENIE W ZESTAWIENIU CAŁOŚCIOWYM</v>
      </c>
      <c r="E115" s="51" t="str">
        <f>PRZEDMIAR!E115</f>
        <v>x</v>
      </c>
      <c r="F115" s="51" t="str">
        <f>PRZEDMIAR!F115</f>
        <v>x</v>
      </c>
      <c r="G115" s="51" t="s">
        <v>21</v>
      </c>
      <c r="H115" s="51" t="s">
        <v>21</v>
      </c>
    </row>
    <row r="116" spans="1:8" ht="30" customHeight="1">
      <c r="A116" s="10">
        <f>PRZEDMIAR!A116</f>
        <v>23</v>
      </c>
      <c r="B116" s="10" t="str">
        <f>PRZEDMIAR!B116</f>
        <v>M 21.54.01</v>
      </c>
      <c r="C116" s="10" t="str">
        <f>PRZEDMIAR!C116</f>
        <v>33</v>
      </c>
      <c r="D116" s="15" t="str">
        <f>PRZEDMIAR!D116</f>
        <v>Wykonanie wzmocnienia ławy fundamentowej z betonu C25/30 (B30) - na wodzie</v>
      </c>
      <c r="E116" s="10" t="str">
        <f>PRZEDMIAR!E116</f>
        <v>m3</v>
      </c>
      <c r="F116" s="10">
        <f>PRZEDMIAR!F116</f>
        <v>30.1</v>
      </c>
      <c r="G116" s="16"/>
      <c r="H116" s="16" t="str">
        <f>IF(ROUND(F116*G116,2)=0," ",ROUND(F116*G116,2))</f>
        <v> </v>
      </c>
    </row>
    <row r="117" spans="1:8" ht="78" customHeight="1" hidden="1">
      <c r="A117" s="10">
        <f>PRZEDMIAR!A117</f>
        <v>0</v>
      </c>
      <c r="B117" s="10">
        <f>PRZEDMIAR!B117</f>
        <v>0</v>
      </c>
      <c r="C117" s="10">
        <f>PRZEDMIAR!C117</f>
        <v>0</v>
      </c>
      <c r="D117" s="15" t="str">
        <f>PRZEDMIAR!D117</f>
        <v>Wzmocnienie ławy przyczółka od strony Jaślisk wraz z usunięciem gruntu wokół przyczółka, utrzymaniem poziomu zwierciadła wody poniżej poziomu robót poprzez pompowanie wody, wykonanie tymczasowej grobli, oczyszczenie powierzchni skuwanej. Obmiar wg rys. 11 "Zbrojenie odsadzki fundamentu przyczółka" - dodatek na wypełnienie przestrzeni pod istniejącym korpusem</v>
      </c>
      <c r="E117" s="10">
        <f>PRZEDMIAR!E117</f>
        <v>0</v>
      </c>
      <c r="F117" s="10">
        <f>PRZEDMIAR!F117</f>
        <v>0</v>
      </c>
      <c r="G117" s="16"/>
      <c r="H117" s="16"/>
    </row>
    <row r="118" spans="1:13" ht="30" customHeight="1" hidden="1">
      <c r="A118" s="10">
        <f>PRZEDMIAR!A118</f>
        <v>0</v>
      </c>
      <c r="B118" s="10">
        <f>PRZEDMIAR!B118</f>
        <v>0</v>
      </c>
      <c r="C118" s="10">
        <f>PRZEDMIAR!C118</f>
        <v>0</v>
      </c>
      <c r="D118" s="15" t="str">
        <f>PRZEDMIAR!D118</f>
        <v>V=7,0 + 1 </v>
      </c>
      <c r="E118" s="10" t="str">
        <f>PRZEDMIAR!E118</f>
        <v>m3</v>
      </c>
      <c r="F118" s="10">
        <f>PRZEDMIAR!F118</f>
        <v>8</v>
      </c>
      <c r="G118" s="16"/>
      <c r="H118" s="16"/>
      <c r="L118" s="84" t="s">
        <v>258</v>
      </c>
      <c r="M118" s="17">
        <v>1</v>
      </c>
    </row>
    <row r="119" spans="1:8" ht="69.75" customHeight="1" hidden="1">
      <c r="A119" s="10">
        <f>PRZEDMIAR!A119</f>
        <v>0</v>
      </c>
      <c r="B119" s="10">
        <f>PRZEDMIAR!B119</f>
        <v>0</v>
      </c>
      <c r="C119" s="10">
        <f>PRZEDMIAR!C119</f>
        <v>0</v>
      </c>
      <c r="D119" s="15" t="str">
        <f>PRZEDMIAR!D119</f>
        <v>Wzmocnienie ławy filara wraz z usunięciem gruntu wokół filara, utrzymaniem poziomu zwierciadła wody poniżej poziomu robót poprzez pompowanie wody, wykonanie tymczasowej grobli, oczyszczenie powierzchni skuwanej. Obmiar wg rys. 8 "Zbrojenie remontu ławy fundamentowej filara" - dodatek na wypełnienie przestrzeni pod istniejącym korpusem</v>
      </c>
      <c r="E119" s="10">
        <f>PRZEDMIAR!E119</f>
        <v>0</v>
      </c>
      <c r="F119" s="10">
        <f>PRZEDMIAR!F119</f>
        <v>0</v>
      </c>
      <c r="G119" s="16"/>
      <c r="H119" s="16"/>
    </row>
    <row r="120" spans="1:8" ht="30" customHeight="1" hidden="1">
      <c r="A120" s="10">
        <f>PRZEDMIAR!A120</f>
        <v>0</v>
      </c>
      <c r="B120" s="10">
        <f>PRZEDMIAR!B120</f>
        <v>0</v>
      </c>
      <c r="C120" s="10">
        <f>PRZEDMIAR!C120</f>
        <v>0</v>
      </c>
      <c r="D120" s="15" t="str">
        <f>PRZEDMIAR!D120</f>
        <v>V=21,1 + 1</v>
      </c>
      <c r="E120" s="10" t="str">
        <f>PRZEDMIAR!E120</f>
        <v>m3</v>
      </c>
      <c r="F120" s="10">
        <f>PRZEDMIAR!F120</f>
        <v>22.1</v>
      </c>
      <c r="G120" s="16"/>
      <c r="H120" s="16"/>
    </row>
    <row r="121" spans="1:8" ht="30" customHeight="1">
      <c r="A121" s="10">
        <f>PRZEDMIAR!A121</f>
        <v>24</v>
      </c>
      <c r="B121" s="10" t="str">
        <f>PRZEDMIAR!B121</f>
        <v>M 21.54.01</v>
      </c>
      <c r="C121" s="10" t="str">
        <f>PRZEDMIAR!C121</f>
        <v>52</v>
      </c>
      <c r="D121" s="15" t="str">
        <f>PRZEDMIAR!D121</f>
        <v>Wywiercenie otworów i osadzenie kotew stalowych o średnicy do 16 mm</v>
      </c>
      <c r="E121" s="10" t="str">
        <f>PRZEDMIAR!E121</f>
        <v>m</v>
      </c>
      <c r="F121" s="10">
        <f>PRZEDMIAR!F121</f>
        <v>51.84</v>
      </c>
      <c r="G121" s="16"/>
      <c r="H121" s="16" t="str">
        <f>IF(ROUND(F121*G121,2)=0," ",ROUND(F121*G121,2))</f>
        <v> </v>
      </c>
    </row>
    <row r="122" spans="1:11" ht="30" customHeight="1" hidden="1">
      <c r="A122" s="10">
        <f>PRZEDMIAR!A122</f>
        <v>0</v>
      </c>
      <c r="B122" s="10">
        <f>PRZEDMIAR!B122</f>
        <v>0</v>
      </c>
      <c r="C122" s="10">
        <f>PRZEDMIAR!C122</f>
        <v>0</v>
      </c>
      <c r="D122" s="15" t="str">
        <f>PRZEDMIAR!D122</f>
        <v>Kotwy średnicy 16mm długości osadzenia 30cm; otwór srednicy 20mm długości 320mm. Pozycja wiercenia: pozioma. Obmiar wg rysunków zbrojenia ławy fundamentowej przyczółka i filara</v>
      </c>
      <c r="E122" s="10">
        <f>PRZEDMIAR!E122</f>
        <v>0</v>
      </c>
      <c r="F122" s="10">
        <f>PRZEDMIAR!F122</f>
        <v>0</v>
      </c>
      <c r="G122" s="16"/>
      <c r="H122" s="16"/>
      <c r="K122" s="17">
        <v>140</v>
      </c>
    </row>
    <row r="123" spans="1:11" ht="30" customHeight="1" hidden="1">
      <c r="A123" s="10">
        <f>PRZEDMIAR!A123</f>
        <v>0</v>
      </c>
      <c r="B123" s="10">
        <f>PRZEDMIAR!B123</f>
        <v>0</v>
      </c>
      <c r="C123" s="10">
        <f>PRZEDMIAR!C123</f>
        <v>0</v>
      </c>
      <c r="D123" s="15" t="str">
        <f>PRZEDMIAR!D123</f>
        <v>(126+36)x0,32</v>
      </c>
      <c r="E123" s="10" t="str">
        <f>PRZEDMIAR!E123</f>
        <v>m</v>
      </c>
      <c r="F123" s="10">
        <f>PRZEDMIAR!F123</f>
        <v>51.84</v>
      </c>
      <c r="G123" s="16"/>
      <c r="H123" s="16"/>
      <c r="K123" s="17">
        <v>0.32</v>
      </c>
    </row>
    <row r="124" spans="1:8" ht="30" customHeight="1">
      <c r="A124" s="10">
        <f>PRZEDMIAR!A124</f>
        <v>25</v>
      </c>
      <c r="B124" s="10" t="str">
        <f>PRZEDMIAR!B124</f>
        <v>M 21.54.01</v>
      </c>
      <c r="C124" s="10" t="str">
        <f>PRZEDMIAR!C124</f>
        <v>96</v>
      </c>
      <c r="D124" s="15" t="str">
        <f>PRZEDMIAR!D124</f>
        <v>Wykonanie zbrojenia - stal kl. A-IIIN</v>
      </c>
      <c r="E124" s="10" t="str">
        <f>PRZEDMIAR!E124</f>
        <v>kg</v>
      </c>
      <c r="F124" s="10">
        <f>PRZEDMIAR!F124</f>
        <v>2297</v>
      </c>
      <c r="G124" s="16"/>
      <c r="H124" s="16" t="str">
        <f>IF(ROUND(F124*G124,2)=0," ",ROUND(F124*G124,2))</f>
        <v> </v>
      </c>
    </row>
    <row r="125" spans="1:8" ht="30" customHeight="1" hidden="1">
      <c r="A125" s="10">
        <f>PRZEDMIAR!A125</f>
        <v>0</v>
      </c>
      <c r="B125" s="10">
        <f>PRZEDMIAR!B125</f>
        <v>0</v>
      </c>
      <c r="C125" s="10">
        <f>PRZEDMIAR!C125</f>
        <v>0</v>
      </c>
      <c r="D125" s="15" t="str">
        <f>PRZEDMIAR!D125</f>
        <v>Wykonanie zbrojenia wzmocnienia ławy fundamentowej.</v>
      </c>
      <c r="E125" s="10">
        <f>PRZEDMIAR!E125</f>
        <v>0</v>
      </c>
      <c r="F125" s="10">
        <f>PRZEDMIAR!F125</f>
        <v>0</v>
      </c>
      <c r="G125" s="16"/>
      <c r="H125" s="16"/>
    </row>
    <row r="126" spans="1:11" ht="30" customHeight="1" hidden="1">
      <c r="A126" s="10">
        <f>PRZEDMIAR!A126</f>
        <v>0</v>
      </c>
      <c r="B126" s="10">
        <f>PRZEDMIAR!B126</f>
        <v>0</v>
      </c>
      <c r="C126" s="10">
        <f>PRZEDMIAR!C126</f>
        <v>0</v>
      </c>
      <c r="D126" s="15" t="str">
        <f>PRZEDMIAR!D126</f>
        <v>Fundament przyczółka: G=529 kg; Fundament filara: G=1768</v>
      </c>
      <c r="E126" s="10" t="str">
        <f>PRZEDMIAR!E126</f>
        <v>kg</v>
      </c>
      <c r="F126" s="10">
        <f>PRZEDMIAR!F126</f>
        <v>2297</v>
      </c>
      <c r="G126" s="16"/>
      <c r="H126" s="16"/>
      <c r="K126" s="17">
        <v>2500</v>
      </c>
    </row>
    <row r="127" spans="1:10" ht="32.25" customHeight="1">
      <c r="A127" s="10"/>
      <c r="B127" s="14"/>
      <c r="C127" s="22"/>
      <c r="D127" s="222" t="str">
        <f>PRZEDMIAR!D127</f>
        <v>OGÓŁEM: FUNDAMENTY</v>
      </c>
      <c r="E127" s="223"/>
      <c r="F127" s="223"/>
      <c r="G127" s="224"/>
      <c r="H127" s="138" t="str">
        <f>IF(SUM(H116,H121,H124)=0," ",SUM(H116,H121,H124))</f>
        <v> </v>
      </c>
      <c r="J127" s="126"/>
    </row>
    <row r="128" spans="1:8" s="78" customFormat="1" ht="30" customHeight="1">
      <c r="A128" s="60" t="str">
        <f>PRZEDMIAR!A128</f>
        <v>x</v>
      </c>
      <c r="B128" s="60" t="str">
        <f>PRZEDMIAR!B128</f>
        <v>M 22.00.00</v>
      </c>
      <c r="C128" s="60"/>
      <c r="D128" s="61" t="str">
        <f>PRZEDMIAR!D128</f>
        <v>KORPUSY PODPÓR</v>
      </c>
      <c r="E128" s="60" t="str">
        <f>PRZEDMIAR!E128</f>
        <v>x</v>
      </c>
      <c r="F128" s="60" t="str">
        <f>PRZEDMIAR!F128</f>
        <v>x</v>
      </c>
      <c r="G128" s="60" t="s">
        <v>21</v>
      </c>
      <c r="H128" s="60" t="s">
        <v>21</v>
      </c>
    </row>
    <row r="129" spans="1:8" s="78" customFormat="1" ht="30" customHeight="1">
      <c r="A129" s="14" t="str">
        <f>PRZEDMIAR!A129</f>
        <v>2.2</v>
      </c>
      <c r="B129" s="14" t="str">
        <f>PRZEDMIAR!B129</f>
        <v>M 22.51.00</v>
      </c>
      <c r="C129" s="14"/>
      <c r="D129" s="23" t="str">
        <f>PRZEDMIAR!D129</f>
        <v>PODPORY I KONSTRUKCJE OPOROWE Z BETONU</v>
      </c>
      <c r="E129" s="14" t="str">
        <f>PRZEDMIAR!E129</f>
        <v>x</v>
      </c>
      <c r="F129" s="14" t="str">
        <f>PRZEDMIAR!F129</f>
        <v>x</v>
      </c>
      <c r="G129" s="14" t="s">
        <v>21</v>
      </c>
      <c r="H129" s="14" t="s">
        <v>21</v>
      </c>
    </row>
    <row r="130" spans="1:8" ht="30" customHeight="1">
      <c r="A130" s="14" t="str">
        <f>PRZEDMIAR!A130</f>
        <v>x</v>
      </c>
      <c r="B130" s="14" t="str">
        <f>PRZEDMIAR!B130</f>
        <v>M 22.51.01</v>
      </c>
      <c r="C130" s="14"/>
      <c r="D130" s="23" t="str">
        <f>PRZEDMIAR!D130</f>
        <v>WZMOCNIENIE PODPORY PRZEZ ZWIEKSZENIE JEJ WYMIARÓW</v>
      </c>
      <c r="E130" s="14" t="str">
        <f>PRZEDMIAR!E130</f>
        <v>x</v>
      </c>
      <c r="F130" s="14" t="str">
        <f>PRZEDMIAR!F130</f>
        <v>x</v>
      </c>
      <c r="G130" s="51" t="s">
        <v>21</v>
      </c>
      <c r="H130" s="51" t="s">
        <v>21</v>
      </c>
    </row>
    <row r="131" spans="1:8" ht="30" customHeight="1">
      <c r="A131" s="10">
        <f>PRZEDMIAR!A131</f>
        <v>26</v>
      </c>
      <c r="B131" s="10" t="str">
        <f>PRZEDMIAR!B131</f>
        <v>M 22.51.01</v>
      </c>
      <c r="C131" s="10" t="str">
        <f>PRZEDMIAR!C131</f>
        <v>32</v>
      </c>
      <c r="D131" s="15" t="str">
        <f>PRZEDMIAR!D131</f>
        <v>Wykonanie wzmocnienia korpusów podpór z betonu C25/30 (B30) - nad wodą wraz z deskowaniem i pielęgnacją</v>
      </c>
      <c r="E131" s="10" t="str">
        <f>PRZEDMIAR!E131</f>
        <v>m3</v>
      </c>
      <c r="F131" s="10">
        <f>PRZEDMIAR!F131</f>
        <v>14.700000000000003</v>
      </c>
      <c r="G131" s="16"/>
      <c r="H131" s="16" t="str">
        <f>IF(ROUND(F131*G131,2)=0," ",ROUND(F131*G131,2))</f>
        <v> </v>
      </c>
    </row>
    <row r="132" spans="1:14" ht="57" customHeight="1" hidden="1">
      <c r="A132" s="10">
        <f>PRZEDMIAR!A132</f>
        <v>0</v>
      </c>
      <c r="B132" s="10">
        <f>PRZEDMIAR!B132</f>
        <v>0</v>
      </c>
      <c r="C132" s="10">
        <f>PRZEDMIAR!C132</f>
        <v>0</v>
      </c>
      <c r="D132" s="15" t="str">
        <f>PRZEDMIAR!D132</f>
        <v>Wykonanie wzmocnienia przyczółków i skrzydeł z betonu C25/30 (B30) - nad wodą. W pozycji tej ująć koszt wykonania rusztowań nad wodą. Obmiar wg rys. 10. Zbrojenie remontu korpusów i skrzydeł przyczółków.</v>
      </c>
      <c r="E132" s="10">
        <f>PRZEDMIAR!E132</f>
        <v>0</v>
      </c>
      <c r="F132" s="10">
        <f>PRZEDMIAR!F132</f>
        <v>0</v>
      </c>
      <c r="G132" s="16"/>
      <c r="H132" s="16"/>
      <c r="K132" s="17">
        <v>1.3</v>
      </c>
      <c r="L132" s="17">
        <v>3.5</v>
      </c>
      <c r="M132" s="17">
        <v>1.3</v>
      </c>
      <c r="N132" s="17">
        <v>1.3</v>
      </c>
    </row>
    <row r="133" spans="1:8" ht="30" customHeight="1" hidden="1">
      <c r="A133" s="10">
        <f>PRZEDMIAR!A133</f>
        <v>0</v>
      </c>
      <c r="B133" s="10">
        <f>PRZEDMIAR!B133</f>
        <v>0</v>
      </c>
      <c r="C133" s="10">
        <f>PRZEDMIAR!C133</f>
        <v>0</v>
      </c>
      <c r="D133" s="15" t="str">
        <f>PRZEDMIAR!D133</f>
        <v>V=10,0m</v>
      </c>
      <c r="E133" s="10" t="str">
        <f>PRZEDMIAR!E133</f>
        <v>m3</v>
      </c>
      <c r="F133" s="10">
        <f>PRZEDMIAR!F133</f>
        <v>10.000000000000002</v>
      </c>
      <c r="G133" s="16"/>
      <c r="H133" s="16"/>
    </row>
    <row r="134" spans="1:8" ht="38.25" hidden="1">
      <c r="A134" s="10">
        <f>PRZEDMIAR!A134</f>
        <v>0</v>
      </c>
      <c r="B134" s="10">
        <f>PRZEDMIAR!B134</f>
        <v>0</v>
      </c>
      <c r="C134" s="10">
        <f>PRZEDMIAR!C134</f>
        <v>0</v>
      </c>
      <c r="D134" s="15" t="str">
        <f>PRZEDMIAR!D134</f>
        <v>Wykonanie wzmocnienia słupów filara z betonu C25/30 (B30) - nad wodą. W pozycji tej ująć koszt wykonania rusztowań nad wodą. Obmiar wg rys. 7. Zbrojenie remontu słupów i oczepu filara</v>
      </c>
      <c r="E134" s="10">
        <f>PRZEDMIAR!E134</f>
        <v>0</v>
      </c>
      <c r="F134" s="10">
        <f>PRZEDMIAR!F134</f>
        <v>0</v>
      </c>
      <c r="G134" s="16"/>
      <c r="H134" s="16"/>
    </row>
    <row r="135" spans="1:8" ht="33" customHeight="1" hidden="1">
      <c r="A135" s="10">
        <f>PRZEDMIAR!A135</f>
        <v>0</v>
      </c>
      <c r="B135" s="10">
        <f>PRZEDMIAR!B135</f>
        <v>0</v>
      </c>
      <c r="C135" s="10">
        <f>PRZEDMIAR!C135</f>
        <v>0</v>
      </c>
      <c r="D135" s="15" t="str">
        <f>PRZEDMIAR!D135</f>
        <v>V=3 x 1,0</v>
      </c>
      <c r="E135" s="10" t="str">
        <f>PRZEDMIAR!E135</f>
        <v>m3</v>
      </c>
      <c r="F135" s="10">
        <f>PRZEDMIAR!F135</f>
        <v>3</v>
      </c>
      <c r="G135" s="16"/>
      <c r="H135" s="16"/>
    </row>
    <row r="136" spans="1:8" ht="41.25" customHeight="1" hidden="1">
      <c r="A136" s="10">
        <f>PRZEDMIAR!A136</f>
        <v>0</v>
      </c>
      <c r="B136" s="10">
        <f>PRZEDMIAR!B136</f>
        <v>0</v>
      </c>
      <c r="C136" s="10">
        <f>PRZEDMIAR!C136</f>
        <v>0</v>
      </c>
      <c r="D136" s="15" t="str">
        <f>PRZEDMIAR!D136</f>
        <v>Wykonanie wzmocnienia oczepu filara z betonu C25/30 (B30) - nad wodą. W pozycji tej ująć koszt wykonania rusztowań nad wodą. Obmiar wg rys. 7. Zbrojenie remontu słupów i oczepu filara</v>
      </c>
      <c r="E136" s="10">
        <f>PRZEDMIAR!E136</f>
        <v>0</v>
      </c>
      <c r="F136" s="10">
        <f>PRZEDMIAR!F136</f>
        <v>0</v>
      </c>
      <c r="G136" s="16"/>
      <c r="H136" s="16"/>
    </row>
    <row r="137" spans="1:8" ht="30" customHeight="1" hidden="1">
      <c r="A137" s="10">
        <f>PRZEDMIAR!A137</f>
        <v>0</v>
      </c>
      <c r="B137" s="10">
        <f>PRZEDMIAR!B137</f>
        <v>0</v>
      </c>
      <c r="C137" s="10">
        <f>PRZEDMIAR!C137</f>
        <v>0</v>
      </c>
      <c r="D137" s="15" t="str">
        <f>PRZEDMIAR!D137</f>
        <v>V=0,9</v>
      </c>
      <c r="E137" s="10" t="str">
        <f>PRZEDMIAR!E137</f>
        <v>m3</v>
      </c>
      <c r="F137" s="10">
        <f>PRZEDMIAR!F137</f>
        <v>0.9</v>
      </c>
      <c r="G137" s="16"/>
      <c r="H137" s="16"/>
    </row>
    <row r="138" spans="1:8" ht="38.25">
      <c r="A138" s="10">
        <f>PRZEDMIAR!A140</f>
        <v>27</v>
      </c>
      <c r="B138" s="10" t="str">
        <f>PRZEDMIAR!B140</f>
        <v>M 22.51.01</v>
      </c>
      <c r="C138" s="10" t="str">
        <f>PRZEDMIAR!C140</f>
        <v>36</v>
      </c>
      <c r="D138" s="15" t="str">
        <f>PRZEDMIAR!D140</f>
        <v>Wywiercenie otworów i osadzenie kotew stalowych o średnicy do 16 mm włącznie i o długości od 201 do 500mm - nad wodą na kleju na bazie żywic epoksydowych</v>
      </c>
      <c r="E138" s="10" t="str">
        <f>PRZEDMIAR!E140</f>
        <v>m</v>
      </c>
      <c r="F138" s="10">
        <f>PRZEDMIAR!F140</f>
        <v>138.72</v>
      </c>
      <c r="G138" s="16"/>
      <c r="H138" s="16" t="str">
        <f>IF(ROUND(F138*G138,2)=0," ",ROUND(F138*G138,2))</f>
        <v> </v>
      </c>
    </row>
    <row r="139" spans="1:8" ht="63.75" hidden="1">
      <c r="A139" s="10">
        <f>PRZEDMIAR!A141</f>
        <v>0</v>
      </c>
      <c r="B139" s="10">
        <f>PRZEDMIAR!B141</f>
        <v>0</v>
      </c>
      <c r="C139" s="10">
        <f>PRZEDMIAR!C141</f>
        <v>0</v>
      </c>
      <c r="D139" s="15" t="str">
        <f>PRZEDMIAR!D141</f>
        <v>Kotwy zespolenia płaszcza żelbetowego z korpusem przyczółków średnicy 12mm długości osadzenia 30cm; otwór srednicy 14mm długości 320mm. Pozycja wiercenia:pozioma. Obmiar wg rys. 10. Zbrojenie remontu korpusów i skrzydeł przyczółków oraz Wg rys. 12. Zbrojenie poszerzenia przyczółka od strony Jaślisk i górnej wody.</v>
      </c>
      <c r="E139" s="10">
        <f>PRZEDMIAR!E141</f>
        <v>0</v>
      </c>
      <c r="F139" s="10">
        <f>PRZEDMIAR!F141</f>
        <v>0</v>
      </c>
      <c r="G139" s="16"/>
      <c r="H139" s="16"/>
    </row>
    <row r="140" spans="1:8" ht="30" customHeight="1" hidden="1">
      <c r="A140" s="10">
        <f>PRZEDMIAR!A142</f>
        <v>0</v>
      </c>
      <c r="B140" s="10">
        <f>PRZEDMIAR!B142</f>
        <v>0</v>
      </c>
      <c r="C140" s="10">
        <f>PRZEDMIAR!C142</f>
        <v>0</v>
      </c>
      <c r="D140" s="15" t="str">
        <f>PRZEDMIAR!D142</f>
        <v>600x0,22+21x0,32</v>
      </c>
      <c r="E140" s="10" t="str">
        <f>PRZEDMIAR!E142</f>
        <v>m</v>
      </c>
      <c r="F140" s="10">
        <f>PRZEDMIAR!F142</f>
        <v>138.72</v>
      </c>
      <c r="G140" s="16"/>
      <c r="H140" s="16"/>
    </row>
    <row r="141" spans="1:8" ht="38.25">
      <c r="A141" s="10">
        <f>PRZEDMIAR!A143</f>
        <v>28</v>
      </c>
      <c r="B141" s="10" t="str">
        <f>PRZEDMIAR!B143</f>
        <v>M 22.51.01</v>
      </c>
      <c r="C141" s="10" t="str">
        <f>PRZEDMIAR!C143</f>
        <v>39</v>
      </c>
      <c r="D141" s="15" t="str">
        <f>PRZEDMIAR!D143</f>
        <v>Wywiercenie otworów i osadzenie kotew stalowych o średnicy od 12 do 16 mm włącznie i o długości od 201 do 500mm - nad wodą na kleju na bazie żywic epoksydowych</v>
      </c>
      <c r="E141" s="10" t="str">
        <f>PRZEDMIAR!E143</f>
        <v>m</v>
      </c>
      <c r="F141" s="10">
        <f>PRZEDMIAR!F143</f>
        <v>88.88</v>
      </c>
      <c r="G141" s="16"/>
      <c r="H141" s="16" t="str">
        <f>IF(ROUND(F141*G141,2)=0," ",ROUND(F141*G141,2))</f>
        <v> </v>
      </c>
    </row>
    <row r="142" spans="1:8" ht="51" hidden="1">
      <c r="A142" s="10">
        <f>PRZEDMIAR!A144</f>
        <v>0</v>
      </c>
      <c r="B142" s="10">
        <f>PRZEDMIAR!B144</f>
        <v>0</v>
      </c>
      <c r="C142" s="10">
        <f>PRZEDMIAR!C144</f>
        <v>0</v>
      </c>
      <c r="D142" s="15" t="str">
        <f>PRZEDMIAR!D144</f>
        <v>Kotwy zespolenia płaszcza ze słupami filara średnicy 12mm długości osadzenia 20cm; otwór srednicy 14mm długości 200mm. Pozycja wiercenia:pionowa. Obmiar wg rysunku 7. Zbrojenie remontu słupów i oczepu filara</v>
      </c>
      <c r="E142" s="10">
        <f>PRZEDMIAR!E144</f>
        <v>0</v>
      </c>
      <c r="F142" s="10">
        <f>PRZEDMIAR!F144</f>
        <v>0</v>
      </c>
      <c r="G142" s="16"/>
      <c r="H142" s="16"/>
    </row>
    <row r="143" spans="1:8" ht="30" customHeight="1" hidden="1">
      <c r="A143" s="10">
        <f>PRZEDMIAR!A145</f>
        <v>0</v>
      </c>
      <c r="B143" s="10">
        <f>PRZEDMIAR!B145</f>
        <v>0</v>
      </c>
      <c r="C143" s="10">
        <f>PRZEDMIAR!C145</f>
        <v>0</v>
      </c>
      <c r="D143" s="15" t="str">
        <f>PRZEDMIAR!D145</f>
        <v>68x0,22x3 - dla słupów filara</v>
      </c>
      <c r="E143" s="10" t="str">
        <f>PRZEDMIAR!E145</f>
        <v>m</v>
      </c>
      <c r="F143" s="10">
        <f>PRZEDMIAR!F145</f>
        <v>44.88</v>
      </c>
      <c r="G143" s="16"/>
      <c r="H143" s="16"/>
    </row>
    <row r="144" spans="1:8" ht="30" customHeight="1">
      <c r="A144" s="10">
        <f>PRZEDMIAR!A147</f>
        <v>29</v>
      </c>
      <c r="B144" s="10" t="str">
        <f>PRZEDMIAR!B147</f>
        <v>M 22.51.01</v>
      </c>
      <c r="C144" s="10" t="str">
        <f>PRZEDMIAR!C147</f>
        <v>96</v>
      </c>
      <c r="D144" s="15" t="str">
        <f>PRZEDMIAR!D147</f>
        <v>Zakup, transport  i montaż zbrojenia ze stali kl. A-IIIN</v>
      </c>
      <c r="E144" s="10" t="str">
        <f>PRZEDMIAR!E147</f>
        <v>kg</v>
      </c>
      <c r="F144" s="10">
        <f>PRZEDMIAR!F147</f>
        <v>2623</v>
      </c>
      <c r="G144" s="16"/>
      <c r="H144" s="16" t="str">
        <f>IF(ROUND(F144*G144,2)=0," ",ROUND(F144*G144,2))</f>
        <v> </v>
      </c>
    </row>
    <row r="145" spans="1:8" ht="51" hidden="1">
      <c r="A145" s="10">
        <f>PRZEDMIAR!A148</f>
        <v>0</v>
      </c>
      <c r="B145" s="10">
        <f>PRZEDMIAR!B148</f>
        <v>0</v>
      </c>
      <c r="C145" s="10">
        <f>PRZEDMIAR!C148</f>
        <v>0</v>
      </c>
      <c r="D145" s="15" t="str">
        <f>PRZEDMIAR!D148</f>
        <v>Wykonanie zbrojenia wzmocnienia przyczółków oraz filara. Obmiar wg rysunków 10. Zbrojenie remontu korpusów i skrzydeł przyczółków;  12. Zbrojenie poszerzenia przyczółka od strony Jaślisk i górnej wody oraz rysunku nr 7. Zbrojenie remontu słupów i oczepu filara.</v>
      </c>
      <c r="E145" s="10">
        <f>PRZEDMIAR!E148</f>
        <v>0</v>
      </c>
      <c r="F145" s="10">
        <f>PRZEDMIAR!F148</f>
        <v>0</v>
      </c>
      <c r="G145" s="16"/>
      <c r="H145" s="16"/>
    </row>
    <row r="146" spans="1:8" ht="30" customHeight="1" hidden="1">
      <c r="A146" s="10">
        <f>PRZEDMIAR!A149</f>
        <v>0</v>
      </c>
      <c r="B146" s="10">
        <f>PRZEDMIAR!B149</f>
        <v>0</v>
      </c>
      <c r="C146" s="10">
        <f>PRZEDMIAR!C149</f>
        <v>0</v>
      </c>
      <c r="D146" s="15" t="str">
        <f>PRZEDMIAR!D149</f>
        <v>141*3+183+117+1900</v>
      </c>
      <c r="E146" s="10" t="str">
        <f>PRZEDMIAR!E149</f>
        <v>kg</v>
      </c>
      <c r="F146" s="10">
        <f>PRZEDMIAR!F149</f>
        <v>2623</v>
      </c>
      <c r="G146" s="16"/>
      <c r="H146" s="16"/>
    </row>
    <row r="147" spans="1:10" ht="32.25" customHeight="1">
      <c r="A147" s="10"/>
      <c r="B147" s="14"/>
      <c r="C147" s="22"/>
      <c r="D147" s="222" t="str">
        <f>PRZEDMIAR!D150</f>
        <v>OGÓŁEM: KORPUSY PODPÓR</v>
      </c>
      <c r="E147" s="223"/>
      <c r="F147" s="223"/>
      <c r="G147" s="224"/>
      <c r="H147" s="138" t="str">
        <f>IF(SUM(H131,H138,H141,H144)=0," ",SUM(H131,H138,H141,H144))</f>
        <v> </v>
      </c>
      <c r="J147" s="126"/>
    </row>
    <row r="148" spans="1:8" s="78" customFormat="1" ht="30" customHeight="1">
      <c r="A148" s="60" t="str">
        <f>PRZEDMIAR!A151</f>
        <v>2.3</v>
      </c>
      <c r="B148" s="60" t="str">
        <f>PRZEDMIAR!B151</f>
        <v>M 23.00.00</v>
      </c>
      <c r="C148" s="60"/>
      <c r="D148" s="61" t="str">
        <f>PRZEDMIAR!D151</f>
        <v>USTROJE NOŚNE</v>
      </c>
      <c r="E148" s="60" t="str">
        <f>PRZEDMIAR!E151</f>
        <v>x</v>
      </c>
      <c r="F148" s="60" t="str">
        <f>PRZEDMIAR!F151</f>
        <v>x</v>
      </c>
      <c r="G148" s="60" t="s">
        <v>21</v>
      </c>
      <c r="H148" s="60" t="s">
        <v>21</v>
      </c>
    </row>
    <row r="149" spans="1:8" s="26" customFormat="1" ht="30" customHeight="1">
      <c r="A149" s="14" t="str">
        <f>PRZEDMIAR!A152</f>
        <v>x</v>
      </c>
      <c r="B149" s="14" t="str">
        <f>PRZEDMIAR!B152</f>
        <v>M 23.52.00</v>
      </c>
      <c r="C149" s="14"/>
      <c r="D149" s="23" t="str">
        <f>PRZEDMIAR!D152</f>
        <v>PRZĘSŁA STALOWE</v>
      </c>
      <c r="E149" s="14" t="str">
        <f>PRZEDMIAR!E152</f>
        <v>x</v>
      </c>
      <c r="F149" s="14" t="str">
        <f>PRZEDMIAR!F152</f>
        <v>x</v>
      </c>
      <c r="G149" s="14" t="s">
        <v>21</v>
      </c>
      <c r="H149" s="14" t="s">
        <v>21</v>
      </c>
    </row>
    <row r="150" spans="1:8" s="26" customFormat="1" ht="30" customHeight="1">
      <c r="A150" s="14" t="str">
        <f>PRZEDMIAR!A153</f>
        <v>x</v>
      </c>
      <c r="B150" s="14" t="str">
        <f>PRZEDMIAR!B153</f>
        <v>M 23.52.01</v>
      </c>
      <c r="C150" s="14"/>
      <c r="D150" s="23" t="str">
        <f>PRZEDMIAR!D153</f>
        <v>RENOWACJA POWŁOKI MALARSKIEJ PRZĘSŁA STALOWEGO</v>
      </c>
      <c r="E150" s="14" t="str">
        <f>PRZEDMIAR!E153</f>
        <v>x</v>
      </c>
      <c r="F150" s="14" t="str">
        <f>PRZEDMIAR!F153</f>
        <v>x</v>
      </c>
      <c r="G150" s="14" t="s">
        <v>21</v>
      </c>
      <c r="H150" s="14" t="s">
        <v>21</v>
      </c>
    </row>
    <row r="151" spans="1:11" s="26" customFormat="1" ht="26.25" customHeight="1">
      <c r="A151" s="10">
        <f>PRZEDMIAR!A154</f>
        <v>30</v>
      </c>
      <c r="B151" s="10" t="str">
        <f>PRZEDMIAR!B154</f>
        <v>M 23.52.01</v>
      </c>
      <c r="C151" s="10" t="str">
        <f>PRZEDMIAR!C154</f>
        <v>05.</v>
      </c>
      <c r="D151" s="15" t="str">
        <f>PRZEDMIAR!D154</f>
        <v>Wykonanie i demontaż rusztowań nad wodą</v>
      </c>
      <c r="E151" s="10" t="str">
        <f>PRZEDMIAR!E154</f>
        <v>m3</v>
      </c>
      <c r="F151" s="10">
        <f>PRZEDMIAR!F154</f>
        <v>20</v>
      </c>
      <c r="G151" s="16"/>
      <c r="H151" s="16" t="str">
        <f>IF(ROUND(F151*G151,2)=0," ",ROUND(F151*G151,2))</f>
        <v> </v>
      </c>
      <c r="K151" s="26">
        <v>20.9</v>
      </c>
    </row>
    <row r="152" spans="1:11" s="26" customFormat="1" ht="16.5" customHeight="1" hidden="1">
      <c r="A152" s="10">
        <f>PRZEDMIAR!A155</f>
        <v>0</v>
      </c>
      <c r="B152" s="10">
        <f>PRZEDMIAR!B155</f>
        <v>0</v>
      </c>
      <c r="C152" s="10">
        <f>PRZEDMIAR!C155</f>
        <v>0</v>
      </c>
      <c r="D152" s="15" t="str">
        <f>PRZEDMIAR!D155</f>
        <v>Założono 10m3 elementów drewnianych na rusztowanie na przęsło</v>
      </c>
      <c r="E152" s="10">
        <f>PRZEDMIAR!E155</f>
        <v>0</v>
      </c>
      <c r="F152" s="10">
        <f>PRZEDMIAR!F155</f>
        <v>20</v>
      </c>
      <c r="G152" s="110"/>
      <c r="H152" s="110"/>
      <c r="K152" s="26">
        <v>1.37</v>
      </c>
    </row>
    <row r="153" spans="1:8" s="26" customFormat="1" ht="31.5" customHeight="1">
      <c r="A153" s="10">
        <f>PRZEDMIAR!A156</f>
        <v>31</v>
      </c>
      <c r="B153" s="10" t="str">
        <f>PRZEDMIAR!B156</f>
        <v>M 23.05.01 analogia</v>
      </c>
      <c r="C153" s="10" t="str">
        <f>PRZEDMIAR!C156</f>
        <v>87</v>
      </c>
      <c r="D153" s="15" t="str">
        <f>PRZEDMIAR!D156</f>
        <v>Zabezpieczenie antykorozyjne konstrukcji stalowej
poprzez malowanie farbami na bazie żywic EP i PUR</v>
      </c>
      <c r="E153" s="10" t="str">
        <f>PRZEDMIAR!E156</f>
        <v>m2</v>
      </c>
      <c r="F153" s="10">
        <f>PRZEDMIAR!F156</f>
        <v>178.49916000000002</v>
      </c>
      <c r="G153" s="16"/>
      <c r="H153" s="16" t="str">
        <f>IF(ROUND(F153*G153,2)=0," ",ROUND(F153*G153,2))</f>
        <v> </v>
      </c>
    </row>
    <row r="154" spans="1:8" s="26" customFormat="1" ht="93.75" customHeight="1" hidden="1">
      <c r="A154" s="10">
        <f>PRZEDMIAR!A157</f>
        <v>0</v>
      </c>
      <c r="B154" s="10">
        <f>PRZEDMIAR!B157</f>
        <v>0</v>
      </c>
      <c r="C154" s="10">
        <f>PRZEDMIAR!C157</f>
        <v>0</v>
      </c>
      <c r="D154" s="15" t="str">
        <f>PRZEDMIAR!D157</f>
        <v>Wykonanie systemu powłokowego do
zabezpieczania konstrukcji stalowej podczas
renowacji. Wykonanie renowacji powłoki malarskiej
istniejących balustrad na moście. Powłoki malarskie
wg systemu R5 PUR - farby poliuretanowe. Grubość
powłoki malarskiej min. 280 mm, z podziałem na
warstwy jak niżej:</v>
      </c>
      <c r="E154" s="10">
        <f>PRZEDMIAR!E157</f>
        <v>0</v>
      </c>
      <c r="F154" s="10">
        <f>PRZEDMIAR!F157</f>
        <v>0</v>
      </c>
      <c r="G154" s="14"/>
      <c r="H154" s="14"/>
    </row>
    <row r="155" spans="1:8" s="26" customFormat="1" ht="29.25" customHeight="1" hidden="1">
      <c r="A155" s="10">
        <f>PRZEDMIAR!A158</f>
        <v>0</v>
      </c>
      <c r="B155" s="10">
        <f>PRZEDMIAR!B158</f>
        <v>0</v>
      </c>
      <c r="C155" s="10">
        <f>PRZEDMIAR!C158</f>
        <v>0</v>
      </c>
      <c r="D155" s="15" t="str">
        <f>PRZEDMIAR!D158</f>
        <v>powłoka gruntowa PUR - grubość warstwy min. 100
mm</v>
      </c>
      <c r="E155" s="10">
        <f>PRZEDMIAR!E158</f>
        <v>0</v>
      </c>
      <c r="F155" s="10">
        <f>PRZEDMIAR!F158</f>
        <v>0</v>
      </c>
      <c r="G155" s="14"/>
      <c r="H155" s="14"/>
    </row>
    <row r="156" spans="1:12" s="26" customFormat="1" ht="29.25" customHeight="1" hidden="1">
      <c r="A156" s="10">
        <f>PRZEDMIAR!A159</f>
        <v>0</v>
      </c>
      <c r="B156" s="10">
        <f>PRZEDMIAR!B159</f>
        <v>0</v>
      </c>
      <c r="C156" s="10">
        <f>PRZEDMIAR!C159</f>
        <v>0</v>
      </c>
      <c r="D156" s="15" t="str">
        <f>PRZEDMIAR!D159</f>
        <v>powłoka międzywarstwowa PUR - grubość warstwy
min. 80 mm</v>
      </c>
      <c r="E156" s="10">
        <f>PRZEDMIAR!E159</f>
        <v>0</v>
      </c>
      <c r="F156" s="10">
        <f>PRZEDMIAR!F159</f>
        <v>0</v>
      </c>
      <c r="G156" s="14"/>
      <c r="H156" s="14"/>
      <c r="I156" s="78"/>
      <c r="J156" s="78"/>
      <c r="K156" s="78"/>
      <c r="L156" s="78"/>
    </row>
    <row r="157" spans="1:8" s="26" customFormat="1" ht="33" customHeight="1" hidden="1">
      <c r="A157" s="10">
        <f>PRZEDMIAR!A160</f>
        <v>0</v>
      </c>
      <c r="B157" s="10">
        <f>PRZEDMIAR!B160</f>
        <v>0</v>
      </c>
      <c r="C157" s="10">
        <f>PRZEDMIAR!C160</f>
        <v>0</v>
      </c>
      <c r="D157" s="15" t="str">
        <f>PRZEDMIAR!D160</f>
        <v>powłoka nawierzchniowa PUR (Farba poliuretanowa
alifatyczna) - grubość warstwy min. 100 mm</v>
      </c>
      <c r="E157" s="10">
        <f>PRZEDMIAR!E160</f>
        <v>0</v>
      </c>
      <c r="F157" s="10">
        <f>PRZEDMIAR!F160</f>
        <v>0</v>
      </c>
      <c r="G157" s="14"/>
      <c r="H157" s="14"/>
    </row>
    <row r="158" spans="1:8" s="26" customFormat="1" ht="22.5" customHeight="1" hidden="1">
      <c r="A158" s="10">
        <f>PRZEDMIAR!A161</f>
        <v>0</v>
      </c>
      <c r="B158" s="10">
        <f>PRZEDMIAR!B161</f>
        <v>0</v>
      </c>
      <c r="C158" s="10">
        <f>PRZEDMIAR!C161</f>
        <v>0</v>
      </c>
      <c r="D158" s="15" t="str">
        <f>PRZEDMIAR!D161</f>
        <v>1,31x5x20,9+0,949x32x1,37</v>
      </c>
      <c r="E158" s="10">
        <f>PRZEDMIAR!E161</f>
        <v>0</v>
      </c>
      <c r="F158" s="10">
        <f>PRZEDMIAR!F161</f>
        <v>178.49916000000002</v>
      </c>
      <c r="G158" s="14"/>
      <c r="H158" s="14"/>
    </row>
    <row r="159" spans="1:8" s="26" customFormat="1" ht="30" customHeight="1">
      <c r="A159" s="10">
        <f>PRZEDMIAR!A162</f>
        <v>32</v>
      </c>
      <c r="B159" s="10" t="str">
        <f>PRZEDMIAR!B162</f>
        <v>M 23.05.01 analogia</v>
      </c>
      <c r="C159" s="10" t="str">
        <f>PRZEDMIAR!C162</f>
        <v>87</v>
      </c>
      <c r="D159" s="15" t="str">
        <f>PRZEDMIAR!D162</f>
        <v>Oczyszczenie konstrukcji stalowej do stopnia
czystości P Sa 2 1/2</v>
      </c>
      <c r="E159" s="10" t="str">
        <f>PRZEDMIAR!E162</f>
        <v>m2</v>
      </c>
      <c r="F159" s="10">
        <f>PRZEDMIAR!F162</f>
        <v>178.49916000000002</v>
      </c>
      <c r="G159" s="16"/>
      <c r="H159" s="16" t="str">
        <f>IF(ROUND(F159*G159,2)=0," ",ROUND(F159*G159,2))</f>
        <v> </v>
      </c>
    </row>
    <row r="160" spans="1:8" s="26" customFormat="1" ht="67.5" customHeight="1" hidden="1">
      <c r="A160" s="10">
        <f>PRZEDMIAR!A163</f>
        <v>0</v>
      </c>
      <c r="B160" s="10">
        <f>PRZEDMIAR!B163</f>
        <v>0</v>
      </c>
      <c r="C160" s="10">
        <f>PRZEDMIAR!C163</f>
        <v>0</v>
      </c>
      <c r="D160" s="15" t="str">
        <f>PRZEDMIAR!D163</f>
        <v>Oczyszczenie konstrukcji stalowej do stopnia
czystości P Sa 2 1/2 wraz z zabezpieczeniem terenu
przed przedostaniem się odpadów po oczyszczeniu
do wód rzeki (rusztowania, plandeki, podwieszenia,
utylizacja odpadów)</v>
      </c>
      <c r="E160" s="10">
        <f>PRZEDMIAR!E163</f>
        <v>0</v>
      </c>
      <c r="F160" s="10">
        <f>PRZEDMIAR!F163</f>
        <v>0</v>
      </c>
      <c r="G160" s="14"/>
      <c r="H160" s="14"/>
    </row>
    <row r="161" spans="1:8" s="26" customFormat="1" ht="21" customHeight="1" hidden="1">
      <c r="A161" s="10">
        <f>PRZEDMIAR!A164</f>
        <v>0</v>
      </c>
      <c r="B161" s="10">
        <f>PRZEDMIAR!B164</f>
        <v>0</v>
      </c>
      <c r="C161" s="10">
        <f>PRZEDMIAR!C164</f>
        <v>0</v>
      </c>
      <c r="D161" s="15" t="str">
        <f>PRZEDMIAR!D164</f>
        <v>1,31x5x20,9+0,949x32x1,37</v>
      </c>
      <c r="E161" s="10">
        <f>PRZEDMIAR!E164</f>
        <v>0</v>
      </c>
      <c r="F161" s="10">
        <f>PRZEDMIAR!F164</f>
        <v>178.49916000000002</v>
      </c>
      <c r="G161" s="14"/>
      <c r="H161" s="14"/>
    </row>
    <row r="162" spans="1:10" ht="32.25" customHeight="1">
      <c r="A162" s="10"/>
      <c r="B162" s="14"/>
      <c r="C162" s="22"/>
      <c r="D162" s="222" t="str">
        <f>PRZEDMIAR!D165</f>
        <v>OGÓŁEM: USTROJE NOŚNE</v>
      </c>
      <c r="E162" s="223"/>
      <c r="F162" s="223"/>
      <c r="G162" s="224"/>
      <c r="H162" s="138" t="str">
        <f>IF(SUM(H151,H153,H159)=0," ",SUM(H151,H153,H159))</f>
        <v> </v>
      </c>
      <c r="J162" s="126"/>
    </row>
    <row r="163" spans="1:8" s="78" customFormat="1" ht="30" customHeight="1">
      <c r="A163" s="60" t="str">
        <f>PRZEDMIAR!A166</f>
        <v>2.4</v>
      </c>
      <c r="B163" s="60" t="str">
        <f>PRZEDMIAR!B166</f>
        <v>M 23.10.00</v>
      </c>
      <c r="C163" s="60"/>
      <c r="D163" s="61" t="str">
        <f>PRZEDMIAR!D166</f>
        <v>PŁYTY POMOSTU ZESPOLONE Z KONSTRUKCJĄ STALOWĄ</v>
      </c>
      <c r="E163" s="60" t="str">
        <f>PRZEDMIAR!E166</f>
        <v>x</v>
      </c>
      <c r="F163" s="60" t="str">
        <f>PRZEDMIAR!F166</f>
        <v>x</v>
      </c>
      <c r="G163" s="60" t="s">
        <v>21</v>
      </c>
      <c r="H163" s="60" t="s">
        <v>21</v>
      </c>
    </row>
    <row r="164" spans="1:8" s="26" customFormat="1" ht="31.5" customHeight="1">
      <c r="A164" s="14" t="str">
        <f>PRZEDMIAR!A167</f>
        <v>x</v>
      </c>
      <c r="B164" s="14" t="str">
        <f>PRZEDMIAR!B167</f>
        <v>M 23.10.01</v>
      </c>
      <c r="C164" s="14"/>
      <c r="D164" s="23" t="str">
        <f>PRZEDMIAR!D167</f>
        <v>ŻELBETOWA PŁYTA POMOSTU ZESPOLONA Z KONSTRUKCJĄ STALOWĄ USTROJU NOŚNEGO</v>
      </c>
      <c r="E164" s="14" t="str">
        <f>PRZEDMIAR!E167</f>
        <v>x</v>
      </c>
      <c r="F164" s="14" t="str">
        <f>PRZEDMIAR!F167</f>
        <v>x</v>
      </c>
      <c r="G164" s="14" t="s">
        <v>21</v>
      </c>
      <c r="H164" s="14" t="s">
        <v>21</v>
      </c>
    </row>
    <row r="165" spans="1:8" s="26" customFormat="1" ht="34.5" customHeight="1">
      <c r="A165" s="10">
        <f>PRZEDMIAR!A168</f>
        <v>33</v>
      </c>
      <c r="B165" s="10" t="str">
        <f>PRZEDMIAR!B168</f>
        <v>M 23.51.01</v>
      </c>
      <c r="C165" s="10" t="str">
        <f>PRZEDMIAR!C168</f>
        <v>31</v>
      </c>
      <c r="D165" s="15" t="str">
        <f>PRZEDMIAR!D168</f>
        <v>Wykonanie wzmocnienia przęsła betonowego betonem C25/30 - nad wodą</v>
      </c>
      <c r="E165" s="10" t="str">
        <f>PRZEDMIAR!E168</f>
        <v>m3</v>
      </c>
      <c r="F165" s="10">
        <f>PRZEDMIAR!F168</f>
        <v>14</v>
      </c>
      <c r="G165" s="16"/>
      <c r="H165" s="16" t="str">
        <f>IF(ROUND(F165*G165,2)=0," ",ROUND(F165*G165,2))</f>
        <v> </v>
      </c>
    </row>
    <row r="166" spans="1:8" s="26" customFormat="1" ht="30" customHeight="1" hidden="1">
      <c r="A166" s="10">
        <f>PRZEDMIAR!A169</f>
        <v>0</v>
      </c>
      <c r="B166" s="10">
        <f>PRZEDMIAR!B169</f>
        <v>0</v>
      </c>
      <c r="C166" s="10">
        <f>PRZEDMIAR!C169</f>
        <v>0</v>
      </c>
      <c r="D166" s="15" t="str">
        <f>PRZEDMIAR!D169</f>
        <v>wg rys. 5. "Zbrojenie remontu płyty pomostu"</v>
      </c>
      <c r="E166" s="10">
        <f>PRZEDMIAR!E169</f>
        <v>0</v>
      </c>
      <c r="F166" s="10">
        <f>PRZEDMIAR!F169</f>
        <v>0</v>
      </c>
      <c r="G166" s="14"/>
      <c r="H166" s="14"/>
    </row>
    <row r="167" spans="1:8" s="26" customFormat="1" ht="30" customHeight="1" hidden="1">
      <c r="A167" s="10">
        <f>PRZEDMIAR!A170</f>
        <v>0</v>
      </c>
      <c r="B167" s="10">
        <f>PRZEDMIAR!B170</f>
        <v>0</v>
      </c>
      <c r="C167" s="10">
        <f>PRZEDMIAR!C170</f>
        <v>0</v>
      </c>
      <c r="D167" s="15" t="str">
        <f>PRZEDMIAR!D170</f>
        <v>V=14,0</v>
      </c>
      <c r="E167" s="10" t="str">
        <f>PRZEDMIAR!E170</f>
        <v>m3</v>
      </c>
      <c r="F167" s="10">
        <f>PRZEDMIAR!F170</f>
        <v>14</v>
      </c>
      <c r="G167" s="14"/>
      <c r="H167" s="14"/>
    </row>
    <row r="168" spans="1:8" s="26" customFormat="1" ht="30" customHeight="1">
      <c r="A168" s="10">
        <f>PRZEDMIAR!A171</f>
        <v>34</v>
      </c>
      <c r="B168" s="10" t="str">
        <f>PRZEDMIAR!B171</f>
        <v>M 23.51.01</v>
      </c>
      <c r="C168" s="10" t="str">
        <f>PRZEDMIAR!C171</f>
        <v>51</v>
      </c>
      <c r="D168" s="15" t="str">
        <f>PRZEDMIAR!D171</f>
        <v>Wywiercenie otworów i osadzenie kotew - na płycie od góry</v>
      </c>
      <c r="E168" s="10" t="str">
        <f>PRZEDMIAR!E171</f>
        <v>m</v>
      </c>
      <c r="F168" s="10">
        <f>PRZEDMIAR!F171</f>
        <v>76</v>
      </c>
      <c r="G168" s="16"/>
      <c r="H168" s="16" t="str">
        <f>IF(ROUND(F168*G168,2)=0," ",ROUND(F168*G168,2))</f>
        <v> </v>
      </c>
    </row>
    <row r="169" spans="1:8" s="26" customFormat="1" ht="25.5" hidden="1">
      <c r="A169" s="10">
        <f>PRZEDMIAR!A172</f>
        <v>0</v>
      </c>
      <c r="B169" s="10">
        <f>PRZEDMIAR!B172</f>
        <v>0</v>
      </c>
      <c r="C169" s="10">
        <f>PRZEDMIAR!C172</f>
        <v>0</v>
      </c>
      <c r="D169" s="15" t="str">
        <f>PRZEDMIAR!D172</f>
        <v>Wywiercenie otworów Ø14mm L=12cm i osadzenie kotew Ø10mm L=10cm, na kleju z żywic epoksydowych</v>
      </c>
      <c r="E169" s="10">
        <f>PRZEDMIAR!E172</f>
        <v>0</v>
      </c>
      <c r="F169" s="10">
        <f>PRZEDMIAR!F172</f>
        <v>0</v>
      </c>
      <c r="G169" s="14"/>
      <c r="H169" s="14"/>
    </row>
    <row r="170" spans="1:8" s="26" customFormat="1" ht="30" customHeight="1" hidden="1">
      <c r="A170" s="10">
        <f>PRZEDMIAR!A173</f>
        <v>0</v>
      </c>
      <c r="B170" s="10">
        <f>PRZEDMIAR!B173</f>
        <v>0</v>
      </c>
      <c r="C170" s="10">
        <f>PRZEDMIAR!C173</f>
        <v>0</v>
      </c>
      <c r="D170" s="15" t="str">
        <f>PRZEDMIAR!D173</f>
        <v>(90+540)x0,12</v>
      </c>
      <c r="E170" s="10" t="str">
        <f>PRZEDMIAR!E173</f>
        <v>m</v>
      </c>
      <c r="F170" s="10">
        <f>PRZEDMIAR!F173</f>
        <v>76</v>
      </c>
      <c r="G170" s="14"/>
      <c r="H170" s="14"/>
    </row>
    <row r="171" spans="1:8" s="26" customFormat="1" ht="30" customHeight="1">
      <c r="A171" s="10">
        <f>PRZEDMIAR!A174</f>
        <v>35</v>
      </c>
      <c r="B171" s="10" t="str">
        <f>PRZEDMIAR!B174</f>
        <v>M 23.10.01</v>
      </c>
      <c r="C171" s="10" t="str">
        <f>PRZEDMIAR!C174</f>
        <v>97</v>
      </c>
      <c r="D171" s="15" t="str">
        <f>PRZEDMIAR!D174</f>
        <v>Wykonanie zbrojenia płyty zespolonej ze stali klasy A-IIIN</v>
      </c>
      <c r="E171" s="10" t="str">
        <f>PRZEDMIAR!E174</f>
        <v>kg</v>
      </c>
      <c r="F171" s="10">
        <f>PRZEDMIAR!F174</f>
        <v>1362</v>
      </c>
      <c r="G171" s="16"/>
      <c r="H171" s="16" t="str">
        <f>IF(ROUND(F171*G171,2)=0," ",ROUND(F171*G171,2))</f>
        <v> </v>
      </c>
    </row>
    <row r="172" spans="1:8" s="26" customFormat="1" ht="30" customHeight="1" hidden="1">
      <c r="A172" s="10">
        <f>PRZEDMIAR!A175</f>
        <v>0</v>
      </c>
      <c r="B172" s="10">
        <f>PRZEDMIAR!B175</f>
        <v>0</v>
      </c>
      <c r="C172" s="10">
        <f>PRZEDMIAR!C175</f>
        <v>0</v>
      </c>
      <c r="D172" s="15" t="str">
        <f>PRZEDMIAR!D175</f>
        <v>Obmiar wg rys. 5. "Zbrojenie remontu płyty pomostu"</v>
      </c>
      <c r="E172" s="10">
        <f>PRZEDMIAR!E175</f>
        <v>0</v>
      </c>
      <c r="F172" s="10">
        <f>PRZEDMIAR!F175</f>
        <v>0</v>
      </c>
      <c r="G172" s="14"/>
      <c r="H172" s="14"/>
    </row>
    <row r="173" spans="1:8" s="26" customFormat="1" ht="30" customHeight="1" hidden="1">
      <c r="A173" s="10">
        <f>PRZEDMIAR!A176</f>
        <v>0</v>
      </c>
      <c r="B173" s="10">
        <f>PRZEDMIAR!B176</f>
        <v>0</v>
      </c>
      <c r="C173" s="10">
        <f>PRZEDMIAR!C176</f>
        <v>0</v>
      </c>
      <c r="D173" s="15" t="str">
        <f>PRZEDMIAR!D176</f>
        <v>G=1362</v>
      </c>
      <c r="E173" s="10" t="str">
        <f>PRZEDMIAR!E176</f>
        <v>kg</v>
      </c>
      <c r="F173" s="10">
        <f>PRZEDMIAR!F176</f>
        <v>1362</v>
      </c>
      <c r="G173" s="14"/>
      <c r="H173" s="14"/>
    </row>
    <row r="174" spans="1:10" ht="32.25" customHeight="1">
      <c r="A174" s="10"/>
      <c r="B174" s="14"/>
      <c r="C174" s="22"/>
      <c r="D174" s="222" t="str">
        <f>PRZEDMIAR!D177</f>
        <v>OGÓŁEM: PŁYTY POMOSTU ZESPOLONE Z KONSTRUKCJĄ STALOWĄ</v>
      </c>
      <c r="E174" s="223"/>
      <c r="F174" s="223"/>
      <c r="G174" s="224"/>
      <c r="H174" s="138" t="str">
        <f>IF(SUM(H165,H168,H171)=0," ",SUM(H165,H168,H171))</f>
        <v> </v>
      </c>
      <c r="J174" s="126"/>
    </row>
    <row r="175" spans="1:8" s="78" customFormat="1" ht="30" customHeight="1">
      <c r="A175" s="60" t="str">
        <f>PRZEDMIAR!A178</f>
        <v>2.5</v>
      </c>
      <c r="B175" s="60" t="str">
        <f>PRZEDMIAR!B178</f>
        <v>M 23.30.00</v>
      </c>
      <c r="C175" s="60"/>
      <c r="D175" s="61" t="str">
        <f>PRZEDMIAR!D178</f>
        <v>KAPY CHODNIKOWE</v>
      </c>
      <c r="E175" s="60" t="str">
        <f>PRZEDMIAR!E178</f>
        <v>x</v>
      </c>
      <c r="F175" s="60" t="str">
        <f>PRZEDMIAR!F178</f>
        <v>x</v>
      </c>
      <c r="G175" s="60" t="s">
        <v>21</v>
      </c>
      <c r="H175" s="60" t="s">
        <v>21</v>
      </c>
    </row>
    <row r="176" spans="1:9" s="26" customFormat="1" ht="30" customHeight="1">
      <c r="A176" s="14" t="str">
        <f>PRZEDMIAR!A179</f>
        <v>x</v>
      </c>
      <c r="B176" s="14" t="str">
        <f>PRZEDMIAR!B179</f>
        <v>M 23.30.06</v>
      </c>
      <c r="C176" s="14"/>
      <c r="D176" s="23" t="str">
        <f>PRZEDMIAR!D179</f>
        <v>KAPY CHODNIKOWA Z PREFABRYKOWANĄ DESKĄ GZYMSOWĄ</v>
      </c>
      <c r="E176" s="14" t="str">
        <f>PRZEDMIAR!E179</f>
        <v>x</v>
      </c>
      <c r="F176" s="14" t="str">
        <f>PRZEDMIAR!F179</f>
        <v>x</v>
      </c>
      <c r="G176" s="14" t="s">
        <v>21</v>
      </c>
      <c r="H176" s="14" t="s">
        <v>21</v>
      </c>
      <c r="I176" s="17"/>
    </row>
    <row r="177" spans="1:8" s="26" customFormat="1" ht="30" customHeight="1">
      <c r="A177" s="10">
        <f>PRZEDMIAR!A180</f>
        <v>36</v>
      </c>
      <c r="B177" s="10" t="str">
        <f>PRZEDMIAR!B180</f>
        <v>M 23.30.06</v>
      </c>
      <c r="C177" s="10" t="str">
        <f>PRZEDMIAR!C180</f>
        <v>01</v>
      </c>
      <c r="D177" s="15" t="str">
        <f>PRZEDMIAR!D180</f>
        <v>Koszt prefabrykowanych desek gzymsowych z betonu poliuretanowego 4x50x100 cm</v>
      </c>
      <c r="E177" s="10" t="str">
        <f>PRZEDMIAR!E180</f>
        <v>m3</v>
      </c>
      <c r="F177" s="10">
        <f>PRZEDMIAR!F180</f>
        <v>0.836</v>
      </c>
      <c r="G177" s="16"/>
      <c r="H177" s="16" t="str">
        <f>IF(ROUND(F177*G177,2)=0," ",ROUND(F177*G177,2))</f>
        <v> </v>
      </c>
    </row>
    <row r="178" spans="1:8" s="26" customFormat="1" ht="30" customHeight="1" hidden="1">
      <c r="A178" s="10">
        <f>PRZEDMIAR!A181</f>
        <v>0</v>
      </c>
      <c r="B178" s="10">
        <f>PRZEDMIAR!B181</f>
        <v>0</v>
      </c>
      <c r="C178" s="10">
        <f>PRZEDMIAR!C181</f>
        <v>0</v>
      </c>
      <c r="D178" s="15" t="str">
        <f>PRZEDMIAR!D181</f>
        <v>Koszt prefabrykowanych desek gzymsowych z betonu poliuretanowego</v>
      </c>
      <c r="E178" s="10">
        <f>PRZEDMIAR!E181</f>
        <v>0</v>
      </c>
      <c r="F178" s="10">
        <f>PRZEDMIAR!F181</f>
        <v>0</v>
      </c>
      <c r="G178" s="10"/>
      <c r="H178" s="10"/>
    </row>
    <row r="179" spans="1:8" s="26" customFormat="1" ht="30" customHeight="1" hidden="1">
      <c r="A179" s="10">
        <f>PRZEDMIAR!A182</f>
        <v>0</v>
      </c>
      <c r="B179" s="10">
        <f>PRZEDMIAR!B182</f>
        <v>0</v>
      </c>
      <c r="C179" s="10">
        <f>PRZEDMIAR!C182</f>
        <v>0</v>
      </c>
      <c r="D179" s="15" t="str">
        <f>PRZEDMIAR!D182</f>
        <v>0,5x0,04x20,9x2</v>
      </c>
      <c r="E179" s="10" t="str">
        <f>PRZEDMIAR!E182</f>
        <v>m3</v>
      </c>
      <c r="F179" s="10">
        <f>PRZEDMIAR!F182</f>
        <v>0.836</v>
      </c>
      <c r="G179" s="10"/>
      <c r="H179" s="10"/>
    </row>
    <row r="180" spans="1:8" s="26" customFormat="1" ht="30" customHeight="1">
      <c r="A180" s="10">
        <f>PRZEDMIAR!A183</f>
        <v>37</v>
      </c>
      <c r="B180" s="10" t="str">
        <f>PRZEDMIAR!B183</f>
        <v>M 23.30.06</v>
      </c>
      <c r="C180" s="10" t="str">
        <f>PRZEDMIAR!C183</f>
        <v>51</v>
      </c>
      <c r="D180" s="15" t="str">
        <f>PRZEDMIAR!D183</f>
        <v>Montaż prefabrykowanych desek gzymsowych z betonu poliuretanowego o kubaturze do 0,1m3/szt</v>
      </c>
      <c r="E180" s="10" t="str">
        <f>PRZEDMIAR!E183</f>
        <v>m3</v>
      </c>
      <c r="F180" s="10">
        <f>PRZEDMIAR!F183</f>
        <v>0.836</v>
      </c>
      <c r="G180" s="16"/>
      <c r="H180" s="16" t="str">
        <f>IF(ROUND(F180*G180,2)=0," ",ROUND(F180*G180,2))</f>
        <v> </v>
      </c>
    </row>
    <row r="181" spans="1:8" s="26" customFormat="1" ht="30" customHeight="1" hidden="1">
      <c r="A181" s="10">
        <f>PRZEDMIAR!A184</f>
        <v>0</v>
      </c>
      <c r="B181" s="10">
        <f>PRZEDMIAR!B184</f>
        <v>0</v>
      </c>
      <c r="C181" s="10">
        <f>PRZEDMIAR!C184</f>
        <v>0</v>
      </c>
      <c r="D181" s="15" t="str">
        <f>PRZEDMIAR!D184</f>
        <v>poz.36</v>
      </c>
      <c r="E181" s="10" t="str">
        <f>PRZEDMIAR!E184</f>
        <v>m3</v>
      </c>
      <c r="F181" s="10">
        <f>PRZEDMIAR!F184</f>
        <v>0.836</v>
      </c>
      <c r="G181" s="16"/>
      <c r="H181" s="16"/>
    </row>
    <row r="182" spans="1:8" s="26" customFormat="1" ht="30" customHeight="1">
      <c r="A182" s="10">
        <f>PRZEDMIAR!A185</f>
        <v>38</v>
      </c>
      <c r="B182" s="10" t="str">
        <f>PRZEDMIAR!B185</f>
        <v>M 23.30.06</v>
      </c>
      <c r="C182" s="10" t="str">
        <f>PRZEDMIAR!C185</f>
        <v>58</v>
      </c>
      <c r="D182" s="15" t="str">
        <f>PRZEDMIAR!D185</f>
        <v>Osadzenie kotew zamocowań balustrad, barier, latarni, itp..</v>
      </c>
      <c r="E182" s="10" t="str">
        <f>PRZEDMIAR!E185</f>
        <v>kg</v>
      </c>
      <c r="F182" s="10">
        <f>PRZEDMIAR!F185</f>
        <v>94.91999999999999</v>
      </c>
      <c r="G182" s="16"/>
      <c r="H182" s="16" t="str">
        <f>IF(ROUND(F182*G182,2)=0," ",ROUND(F182*G182,2))</f>
        <v> </v>
      </c>
    </row>
    <row r="183" spans="1:8" s="26" customFormat="1" ht="30" customHeight="1" hidden="1">
      <c r="A183" s="10">
        <f>PRZEDMIAR!A186</f>
        <v>0</v>
      </c>
      <c r="B183" s="10">
        <f>PRZEDMIAR!B186</f>
        <v>0</v>
      </c>
      <c r="C183" s="10">
        <f>PRZEDMIAR!C186</f>
        <v>0</v>
      </c>
      <c r="D183" s="15" t="str">
        <f>PRZEDMIAR!D186</f>
        <v>Osadzenie kotew balustrad o rozstawie słupków 1m. Przyjęto ciężar stali kotwy 2,26 kg (wg rys. 16. Balustrada stalowa)</v>
      </c>
      <c r="E183" s="10">
        <f>PRZEDMIAR!E186</f>
        <v>0</v>
      </c>
      <c r="F183" s="10">
        <f>PRZEDMIAR!F186</f>
        <v>0</v>
      </c>
      <c r="G183" s="16"/>
      <c r="H183" s="16"/>
    </row>
    <row r="184" spans="1:8" s="26" customFormat="1" ht="30" customHeight="1" hidden="1">
      <c r="A184" s="10">
        <f>PRZEDMIAR!A187</f>
        <v>0</v>
      </c>
      <c r="B184" s="10">
        <f>PRZEDMIAR!B187</f>
        <v>0</v>
      </c>
      <c r="C184" s="10">
        <f>PRZEDMIAR!C187</f>
        <v>0</v>
      </c>
      <c r="D184" s="15" t="str">
        <f>PRZEDMIAR!D187</f>
        <v>42x2,26</v>
      </c>
      <c r="E184" s="10" t="str">
        <f>PRZEDMIAR!E187</f>
        <v>kg</v>
      </c>
      <c r="F184" s="10">
        <f>PRZEDMIAR!F187</f>
        <v>94.91999999999999</v>
      </c>
      <c r="G184" s="16"/>
      <c r="H184" s="16"/>
    </row>
    <row r="185" spans="1:10" ht="32.25" customHeight="1">
      <c r="A185" s="10"/>
      <c r="B185" s="14"/>
      <c r="C185" s="22"/>
      <c r="D185" s="222" t="str">
        <f>PRZEDMIAR!D188</f>
        <v>OGÓŁEM: KAPY CHODNIKOWE</v>
      </c>
      <c r="E185" s="223"/>
      <c r="F185" s="223"/>
      <c r="G185" s="224"/>
      <c r="H185" s="138" t="str">
        <f>IF(SUM(H177,H180,H182)=0," ",SUM(H177,H180,H182))</f>
        <v> </v>
      </c>
      <c r="J185" s="126"/>
    </row>
    <row r="186" spans="1:8" s="78" customFormat="1" ht="30" customHeight="1">
      <c r="A186" s="60" t="str">
        <f>PRZEDMIAR!A189</f>
        <v>2.6</v>
      </c>
      <c r="B186" s="60" t="str">
        <f>PRZEDMIAR!B189</f>
        <v>M 24.00.00</v>
      </c>
      <c r="C186" s="60"/>
      <c r="D186" s="61" t="str">
        <f>PRZEDMIAR!D189</f>
        <v>ŁOŻYSKA</v>
      </c>
      <c r="E186" s="60" t="str">
        <f>PRZEDMIAR!E189</f>
        <v>x</v>
      </c>
      <c r="F186" s="60" t="str">
        <f>PRZEDMIAR!F189</f>
        <v>x</v>
      </c>
      <c r="G186" s="60" t="s">
        <v>21</v>
      </c>
      <c r="H186" s="60" t="s">
        <v>21</v>
      </c>
    </row>
    <row r="187" spans="1:8" s="26" customFormat="1" ht="30" customHeight="1">
      <c r="A187" s="14" t="str">
        <f>PRZEDMIAR!A190</f>
        <v>x</v>
      </c>
      <c r="B187" s="14" t="str">
        <f>PRZEDMIAR!B190</f>
        <v>M 24.03.01</v>
      </c>
      <c r="C187" s="14"/>
      <c r="D187" s="23" t="str">
        <f>PRZEDMIAR!D190</f>
        <v>ŁOŻYSKA STALOWE LINIOWE</v>
      </c>
      <c r="E187" s="14" t="str">
        <f>PRZEDMIAR!E190</f>
        <v>x</v>
      </c>
      <c r="F187" s="14" t="str">
        <f>PRZEDMIAR!F190</f>
        <v>x</v>
      </c>
      <c r="G187" s="14" t="s">
        <v>21</v>
      </c>
      <c r="H187" s="14" t="s">
        <v>21</v>
      </c>
    </row>
    <row r="188" spans="1:8" s="26" customFormat="1" ht="30" customHeight="1">
      <c r="A188" s="10">
        <f>PRZEDMIAR!A191</f>
        <v>39</v>
      </c>
      <c r="B188" s="10" t="str">
        <f>PRZEDMIAR!B191</f>
        <v>M 24.05.01 analogia</v>
      </c>
      <c r="C188" s="10" t="str">
        <f>PRZEDMIAR!C191</f>
        <v>87</v>
      </c>
      <c r="D188" s="15" t="str">
        <f>PRZEDMIAR!D191</f>
        <v>Zabezpieczenie antykorozyjne łożysk
poprzez malowanie farbami na bazie żywic EP i PUR</v>
      </c>
      <c r="E188" s="10" t="str">
        <f>PRZEDMIAR!E191</f>
        <v>m2</v>
      </c>
      <c r="F188" s="10">
        <f>PRZEDMIAR!F191</f>
        <v>1</v>
      </c>
      <c r="G188" s="16"/>
      <c r="H188" s="16" t="str">
        <f>IF(ROUND(F188*G188,2)=0," ",ROUND(F188*G188,2))</f>
        <v> </v>
      </c>
    </row>
    <row r="189" spans="1:8" s="26" customFormat="1" ht="30" customHeight="1" hidden="1">
      <c r="A189" s="10">
        <f>PRZEDMIAR!A192</f>
        <v>0</v>
      </c>
      <c r="B189" s="10">
        <f>PRZEDMIAR!B192</f>
        <v>0</v>
      </c>
      <c r="C189" s="10">
        <f>PRZEDMIAR!C192</f>
        <v>0</v>
      </c>
      <c r="D189" s="15" t="str">
        <f>PRZEDMIAR!D192</f>
        <v>20x0,05</v>
      </c>
      <c r="E189" s="10" t="str">
        <f>PRZEDMIAR!E192</f>
        <v>m2</v>
      </c>
      <c r="F189" s="10">
        <f>PRZEDMIAR!F192</f>
        <v>1</v>
      </c>
      <c r="G189" s="16"/>
      <c r="H189" s="16"/>
    </row>
    <row r="190" spans="1:8" s="26" customFormat="1" ht="30" customHeight="1">
      <c r="A190" s="10">
        <f>PRZEDMIAR!A193</f>
        <v>40</v>
      </c>
      <c r="B190" s="10" t="str">
        <f>PRZEDMIAR!B193</f>
        <v>M 24.05.01 analogia</v>
      </c>
      <c r="C190" s="10" t="str">
        <f>PRZEDMIAR!C193</f>
        <v>87</v>
      </c>
      <c r="D190" s="15" t="str">
        <f>PRZEDMIAR!D193</f>
        <v>Oczyszczenie łożysk do stopnia
czystości P Sa 2 1/2</v>
      </c>
      <c r="E190" s="10" t="str">
        <f>PRZEDMIAR!E193</f>
        <v>m2</v>
      </c>
      <c r="F190" s="10">
        <f>PRZEDMIAR!F193</f>
        <v>1</v>
      </c>
      <c r="G190" s="16"/>
      <c r="H190" s="16" t="str">
        <f>IF(ROUND(F190*G190,2)=0," ",ROUND(F190*G190,2))</f>
        <v> </v>
      </c>
    </row>
    <row r="191" spans="1:8" s="26" customFormat="1" ht="30" customHeight="1" hidden="1">
      <c r="A191" s="10">
        <f>PRZEDMIAR!A194</f>
        <v>0</v>
      </c>
      <c r="B191" s="10">
        <f>PRZEDMIAR!B194</f>
        <v>0</v>
      </c>
      <c r="C191" s="10">
        <f>PRZEDMIAR!C194</f>
        <v>0</v>
      </c>
      <c r="D191" s="15" t="str">
        <f>PRZEDMIAR!D194</f>
        <v>20x0,05</v>
      </c>
      <c r="E191" s="10" t="str">
        <f>PRZEDMIAR!E194</f>
        <v>m2</v>
      </c>
      <c r="F191" s="10">
        <f>PRZEDMIAR!F194</f>
        <v>1</v>
      </c>
      <c r="G191" s="16"/>
      <c r="H191" s="16"/>
    </row>
    <row r="192" spans="1:10" ht="32.25" customHeight="1">
      <c r="A192" s="10"/>
      <c r="B192" s="14"/>
      <c r="C192" s="22"/>
      <c r="D192" s="222" t="str">
        <f>PRZEDMIAR!D195</f>
        <v>OGÓŁEM: ŁOŻYSKA</v>
      </c>
      <c r="E192" s="223"/>
      <c r="F192" s="223"/>
      <c r="G192" s="224"/>
      <c r="H192" s="138" t="str">
        <f>IF(SUM(H188,H190)=0," ",SUM(H188,H190))</f>
        <v> </v>
      </c>
      <c r="J192" s="126"/>
    </row>
    <row r="193" spans="1:9" s="78" customFormat="1" ht="30" customHeight="1">
      <c r="A193" s="60" t="str">
        <f>PRZEDMIAR!A196</f>
        <v>2.7</v>
      </c>
      <c r="B193" s="60" t="str">
        <f>PRZEDMIAR!B196</f>
        <v>M 25.00.00</v>
      </c>
      <c r="C193" s="60"/>
      <c r="D193" s="61" t="str">
        <f>PRZEDMIAR!D196</f>
        <v>URZĄDZENIA DYLATACYJNE</v>
      </c>
      <c r="E193" s="60" t="str">
        <f>PRZEDMIAR!E196</f>
        <v>x</v>
      </c>
      <c r="F193" s="60" t="str">
        <f>PRZEDMIAR!F196</f>
        <v>x</v>
      </c>
      <c r="G193" s="60" t="s">
        <v>21</v>
      </c>
      <c r="H193" s="60" t="s">
        <v>21</v>
      </c>
      <c r="I193" s="26"/>
    </row>
    <row r="194" spans="1:8" s="26" customFormat="1" ht="30" customHeight="1">
      <c r="A194" s="14" t="str">
        <f>PRZEDMIAR!A197</f>
        <v>x</v>
      </c>
      <c r="B194" s="14" t="str">
        <f>PRZEDMIAR!B197</f>
        <v>M 25.01.13</v>
      </c>
      <c r="C194" s="14"/>
      <c r="D194" s="23" t="str">
        <f>PRZEDMIAR!D197</f>
        <v>PRZEKRYCIE DYLATACYJNE - "UCIĄGLENIE NAWIERZCHNI"</v>
      </c>
      <c r="E194" s="14" t="str">
        <f>PRZEDMIAR!E197</f>
        <v>x</v>
      </c>
      <c r="F194" s="14" t="str">
        <f>PRZEDMIAR!F197</f>
        <v>x</v>
      </c>
      <c r="G194" s="16" t="s">
        <v>21</v>
      </c>
      <c r="H194" s="16" t="s">
        <v>21</v>
      </c>
    </row>
    <row r="195" spans="1:8" s="26" customFormat="1" ht="30" customHeight="1">
      <c r="A195" s="10">
        <f>PRZEDMIAR!A198</f>
        <v>41</v>
      </c>
      <c r="B195" s="10" t="str">
        <f>PRZEDMIAR!B198</f>
        <v>M 25.01.13</v>
      </c>
      <c r="C195" s="10" t="str">
        <f>PRZEDMIAR!C198</f>
        <v>51</v>
      </c>
      <c r="D195" s="15" t="str">
        <f>PRZEDMIAR!D198</f>
        <v>Wykonanie przekrycia dylatacyjnego "uciąglenie nawierzchni"</v>
      </c>
      <c r="E195" s="10" t="str">
        <f>PRZEDMIAR!E198</f>
        <v>m</v>
      </c>
      <c r="F195" s="10">
        <f>PRZEDMIAR!F198</f>
        <v>12</v>
      </c>
      <c r="G195" s="16"/>
      <c r="H195" s="16" t="str">
        <f>IF(ROUND(F195*G195,2)=0," ",ROUND(F195*G195,2))</f>
        <v> </v>
      </c>
    </row>
    <row r="196" spans="1:8" s="26" customFormat="1" ht="30" customHeight="1" hidden="1">
      <c r="A196" s="10">
        <f>PRZEDMIAR!A199</f>
        <v>0</v>
      </c>
      <c r="B196" s="10">
        <f>PRZEDMIAR!B199</f>
        <v>0</v>
      </c>
      <c r="C196" s="10">
        <f>PRZEDMIAR!C199</f>
        <v>0</v>
      </c>
      <c r="D196" s="15" t="str">
        <f>PRZEDMIAR!D199</f>
        <v>Wykonanie przekrycia dylatacyjnego "uciąglenie nawierzchni"</v>
      </c>
      <c r="E196" s="10">
        <f>PRZEDMIAR!E199</f>
        <v>0</v>
      </c>
      <c r="F196" s="10">
        <f>PRZEDMIAR!F199</f>
        <v>0</v>
      </c>
      <c r="G196" s="16"/>
      <c r="H196" s="16"/>
    </row>
    <row r="197" spans="1:8" s="26" customFormat="1" ht="30" customHeight="1" hidden="1">
      <c r="A197" s="10">
        <f>PRZEDMIAR!A200</f>
        <v>0</v>
      </c>
      <c r="B197" s="10">
        <f>PRZEDMIAR!B200</f>
        <v>0</v>
      </c>
      <c r="C197" s="10">
        <f>PRZEDMIAR!C200</f>
        <v>0</v>
      </c>
      <c r="D197" s="15" t="str">
        <f>PRZEDMIAR!D200</f>
        <v>6x2</v>
      </c>
      <c r="E197" s="10" t="str">
        <f>PRZEDMIAR!E200</f>
        <v>m</v>
      </c>
      <c r="F197" s="10">
        <f>PRZEDMIAR!F200</f>
        <v>12</v>
      </c>
      <c r="G197" s="16"/>
      <c r="H197" s="16"/>
    </row>
    <row r="198" spans="1:10" ht="32.25" customHeight="1">
      <c r="A198" s="10"/>
      <c r="B198" s="14"/>
      <c r="C198" s="22"/>
      <c r="D198" s="222" t="str">
        <f>PRZEDMIAR!D201</f>
        <v>OGÓŁEM: URZĄDZENIA DYLATACYJNE</v>
      </c>
      <c r="E198" s="223"/>
      <c r="F198" s="223"/>
      <c r="G198" s="224"/>
      <c r="H198" s="138" t="str">
        <f>IF(SUM(H195)=0," ",SUM(H195))</f>
        <v> </v>
      </c>
      <c r="J198" s="126"/>
    </row>
    <row r="199" spans="1:8" s="78" customFormat="1" ht="30" customHeight="1">
      <c r="A199" s="60" t="str">
        <f>PRZEDMIAR!A202</f>
        <v>2.8</v>
      </c>
      <c r="B199" s="60" t="str">
        <f>PRZEDMIAR!B202</f>
        <v>M 26.00.00</v>
      </c>
      <c r="C199" s="60"/>
      <c r="D199" s="61" t="str">
        <f>PRZEDMIAR!D202</f>
        <v>ODWODNIENIE</v>
      </c>
      <c r="E199" s="60" t="str">
        <f>PRZEDMIAR!E202</f>
        <v>x</v>
      </c>
      <c r="F199" s="60" t="str">
        <f>PRZEDMIAR!F202</f>
        <v>x</v>
      </c>
      <c r="G199" s="60" t="s">
        <v>21</v>
      </c>
      <c r="H199" s="60" t="s">
        <v>21</v>
      </c>
    </row>
    <row r="200" spans="1:8" s="26" customFormat="1" ht="30" customHeight="1">
      <c r="A200" s="14" t="str">
        <f>PRZEDMIAR!A203</f>
        <v>x</v>
      </c>
      <c r="B200" s="14" t="str">
        <f>PRZEDMIAR!B203</f>
        <v>M 26.01.02</v>
      </c>
      <c r="C200" s="14"/>
      <c r="D200" s="23" t="str">
        <f>PRZEDMIAR!D203</f>
        <v>SĄCZKI DLA ODWODNIENIA IZOLACJI</v>
      </c>
      <c r="E200" s="14" t="str">
        <f>PRZEDMIAR!E203</f>
        <v>x</v>
      </c>
      <c r="F200" s="14" t="str">
        <f>PRZEDMIAR!F203</f>
        <v>x</v>
      </c>
      <c r="G200" s="14" t="s">
        <v>21</v>
      </c>
      <c r="H200" s="14" t="s">
        <v>21</v>
      </c>
    </row>
    <row r="201" spans="1:8" s="26" customFormat="1" ht="30" customHeight="1">
      <c r="A201" s="25">
        <f>PRZEDMIAR!A204</f>
        <v>42</v>
      </c>
      <c r="B201" s="25" t="str">
        <f>PRZEDMIAR!B204</f>
        <v>M 26.01.02</v>
      </c>
      <c r="C201" s="25" t="str">
        <f>PRZEDMIAR!C204</f>
        <v>51</v>
      </c>
      <c r="D201" s="28" t="str">
        <f>PRZEDMIAR!D204</f>
        <v>Montaż saczków odwodnienia izolacji - sączki z HDPE śr. 48mm</v>
      </c>
      <c r="E201" s="25" t="str">
        <f>PRZEDMIAR!E204</f>
        <v>szt</v>
      </c>
      <c r="F201" s="25">
        <f>PRZEDMIAR!F204</f>
        <v>4</v>
      </c>
      <c r="G201" s="16"/>
      <c r="H201" s="16" t="str">
        <f>IF(ROUND(F201*G201,2)=0," ",ROUND(F201*G201,2))</f>
        <v> </v>
      </c>
    </row>
    <row r="202" spans="1:8" s="26" customFormat="1" ht="30" customHeight="1" hidden="1">
      <c r="A202" s="25">
        <f>PRZEDMIAR!A205</f>
        <v>0</v>
      </c>
      <c r="B202" s="25">
        <f>PRZEDMIAR!B205</f>
        <v>0</v>
      </c>
      <c r="C202" s="25">
        <f>PRZEDMIAR!C205</f>
        <v>0</v>
      </c>
      <c r="D202" s="28" t="str">
        <f>PRZEDMIAR!D205</f>
        <v>2x2</v>
      </c>
      <c r="E202" s="25" t="str">
        <f>PRZEDMIAR!E205</f>
        <v>szt</v>
      </c>
      <c r="F202" s="25">
        <f>PRZEDMIAR!F205</f>
        <v>4</v>
      </c>
      <c r="G202" s="16"/>
      <c r="H202" s="16"/>
    </row>
    <row r="203" spans="1:8" s="26" customFormat="1" ht="30" customHeight="1">
      <c r="A203" s="25" t="str">
        <f>PRZEDMIAR!A206</f>
        <v>x</v>
      </c>
      <c r="B203" s="25" t="str">
        <f>PRZEDMIAR!B206</f>
        <v>M 26.01.03</v>
      </c>
      <c r="C203" s="25"/>
      <c r="D203" s="28" t="str">
        <f>PRZEDMIAR!D206</f>
        <v>DRENY DLA ODWODNIENIA IZOLACJI</v>
      </c>
      <c r="E203" s="25" t="str">
        <f>PRZEDMIAR!E206</f>
        <v>x</v>
      </c>
      <c r="F203" s="25" t="str">
        <f>PRZEDMIAR!F206</f>
        <v>x</v>
      </c>
      <c r="G203" s="14" t="s">
        <v>21</v>
      </c>
      <c r="H203" s="14" t="s">
        <v>21</v>
      </c>
    </row>
    <row r="204" spans="1:8" s="26" customFormat="1" ht="30" customHeight="1">
      <c r="A204" s="25">
        <f>PRZEDMIAR!A207</f>
        <v>43</v>
      </c>
      <c r="B204" s="25" t="str">
        <f>PRZEDMIAR!B207</f>
        <v>M 26.01.03</v>
      </c>
      <c r="C204" s="25" t="str">
        <f>PRZEDMIAR!C207</f>
        <v>52</v>
      </c>
      <c r="D204" s="28" t="str">
        <f>PRZEDMIAR!D207</f>
        <v>Wykonanie drenów z kruszywa lakierowanego żywicami syntetycznymi z taśmą</v>
      </c>
      <c r="E204" s="25" t="str">
        <f>PRZEDMIAR!E207</f>
        <v>m</v>
      </c>
      <c r="F204" s="25">
        <f>PRZEDMIAR!F207</f>
        <v>38</v>
      </c>
      <c r="G204" s="16"/>
      <c r="H204" s="16" t="str">
        <f>IF(ROUND(F204*G204,2)=0," ",ROUND(F204*G204,2))</f>
        <v> </v>
      </c>
    </row>
    <row r="205" spans="1:8" s="26" customFormat="1" ht="30" customHeight="1" hidden="1">
      <c r="A205" s="25">
        <f>PRZEDMIAR!A208</f>
        <v>0</v>
      </c>
      <c r="B205" s="25">
        <f>PRZEDMIAR!B208</f>
        <v>0</v>
      </c>
      <c r="C205" s="25">
        <f>PRZEDMIAR!C208</f>
        <v>0</v>
      </c>
      <c r="D205" s="28" t="str">
        <f>PRZEDMIAR!D208</f>
        <v>Dreny podlużne przy kraweżniku z odprowadzeniem do sączków</v>
      </c>
      <c r="E205" s="25">
        <f>PRZEDMIAR!E208</f>
        <v>0</v>
      </c>
      <c r="F205" s="25">
        <f>PRZEDMIAR!F208</f>
        <v>0</v>
      </c>
      <c r="G205" s="16"/>
      <c r="H205" s="16"/>
    </row>
    <row r="206" spans="1:8" s="26" customFormat="1" ht="30" customHeight="1" hidden="1">
      <c r="A206" s="25">
        <f>PRZEDMIAR!A209</f>
        <v>0</v>
      </c>
      <c r="B206" s="25">
        <f>PRZEDMIAR!B209</f>
        <v>0</v>
      </c>
      <c r="C206" s="25">
        <f>PRZEDMIAR!C209</f>
        <v>0</v>
      </c>
      <c r="D206" s="28" t="str">
        <f>PRZEDMIAR!D209</f>
        <v>(19+6)x2</v>
      </c>
      <c r="E206" s="25" t="str">
        <f>PRZEDMIAR!E209</f>
        <v>m</v>
      </c>
      <c r="F206" s="25">
        <f>PRZEDMIAR!F209</f>
        <v>38</v>
      </c>
      <c r="G206" s="16"/>
      <c r="H206" s="16"/>
    </row>
    <row r="207" spans="1:10" ht="32.25" customHeight="1">
      <c r="A207" s="10"/>
      <c r="B207" s="14"/>
      <c r="C207" s="22"/>
      <c r="D207" s="222" t="str">
        <f>PRZEDMIAR!D210</f>
        <v>OGÓŁEM: ODWODNIENIE</v>
      </c>
      <c r="E207" s="223"/>
      <c r="F207" s="223"/>
      <c r="G207" s="224"/>
      <c r="H207" s="138" t="str">
        <f>IF(SUM(H201,H204)=0," ",SUM(H201,H204))</f>
        <v> </v>
      </c>
      <c r="J207" s="126"/>
    </row>
    <row r="208" spans="1:8" s="78" customFormat="1" ht="30" customHeight="1">
      <c r="A208" s="60" t="str">
        <f>PRZEDMIAR!A211</f>
        <v>2.9</v>
      </c>
      <c r="B208" s="60" t="str">
        <f>PRZEDMIAR!B211</f>
        <v>M 27.00.00</v>
      </c>
      <c r="C208" s="60"/>
      <c r="D208" s="61" t="str">
        <f>PRZEDMIAR!D211</f>
        <v>HYDROIZOLACJA</v>
      </c>
      <c r="E208" s="60" t="str">
        <f>PRZEDMIAR!E211</f>
        <v>x</v>
      </c>
      <c r="F208" s="60" t="str">
        <f>PRZEDMIAR!F211</f>
        <v>x</v>
      </c>
      <c r="G208" s="60" t="s">
        <v>21</v>
      </c>
      <c r="H208" s="60" t="s">
        <v>21</v>
      </c>
    </row>
    <row r="209" spans="1:8" s="26" customFormat="1" ht="30" customHeight="1">
      <c r="A209" s="14" t="str">
        <f>PRZEDMIAR!A212</f>
        <v>x</v>
      </c>
      <c r="B209" s="14" t="str">
        <f>PRZEDMIAR!B212</f>
        <v>M 27.01.00</v>
      </c>
      <c r="C209" s="14"/>
      <c r="D209" s="23" t="str">
        <f>PRZEDMIAR!D212</f>
        <v>IZOLACJE POWŁOKOWE</v>
      </c>
      <c r="E209" s="14" t="str">
        <f>PRZEDMIAR!E212</f>
        <v>x</v>
      </c>
      <c r="F209" s="14" t="str">
        <f>PRZEDMIAR!F212</f>
        <v>x</v>
      </c>
      <c r="G209" s="14" t="s">
        <v>21</v>
      </c>
      <c r="H209" s="14" t="s">
        <v>21</v>
      </c>
    </row>
    <row r="210" spans="1:8" s="26" customFormat="1" ht="30" customHeight="1">
      <c r="A210" s="14" t="str">
        <f>PRZEDMIAR!A213</f>
        <v>x</v>
      </c>
      <c r="B210" s="14" t="str">
        <f>PRZEDMIAR!B213</f>
        <v>M 27.01.01</v>
      </c>
      <c r="C210" s="14"/>
      <c r="D210" s="23" t="str">
        <f>PRZEDMIAR!D213</f>
        <v>POWŁOKA IZOLACYJNA BITUMICZNA - "NA ZIMNO"</v>
      </c>
      <c r="E210" s="14" t="str">
        <f>PRZEDMIAR!E213</f>
        <v>x</v>
      </c>
      <c r="F210" s="14" t="str">
        <f>PRZEDMIAR!F213</f>
        <v>x</v>
      </c>
      <c r="G210" s="14" t="s">
        <v>21</v>
      </c>
      <c r="H210" s="14" t="s">
        <v>21</v>
      </c>
    </row>
    <row r="211" spans="1:10" s="26" customFormat="1" ht="30" customHeight="1">
      <c r="A211" s="25">
        <f>PRZEDMIAR!A214</f>
        <v>44</v>
      </c>
      <c r="B211" s="25" t="str">
        <f>PRZEDMIAR!B214</f>
        <v>M 27.01.01</v>
      </c>
      <c r="C211" s="25">
        <f>PRZEDMIAR!C214</f>
        <v>51</v>
      </c>
      <c r="D211" s="28" t="str">
        <f>PRZEDMIAR!D214</f>
        <v>Wykonanie powłokowej izolacji bitumicznej układanej "na zimno" - powierzchnie pionowe</v>
      </c>
      <c r="E211" s="25" t="str">
        <f>PRZEDMIAR!E214</f>
        <v>m2</v>
      </c>
      <c r="F211" s="25">
        <f>PRZEDMIAR!F214</f>
        <v>68.5</v>
      </c>
      <c r="G211" s="16"/>
      <c r="H211" s="16" t="str">
        <f>IF(ROUND(F211*G211,2)=0," ",ROUND(F211*G211,2))</f>
        <v> </v>
      </c>
      <c r="J211" s="17"/>
    </row>
    <row r="212" spans="1:8" s="26" customFormat="1" ht="19.5" customHeight="1" hidden="1">
      <c r="A212" s="25">
        <f>PRZEDMIAR!A215</f>
        <v>0</v>
      </c>
      <c r="B212" s="25">
        <f>PRZEDMIAR!B215</f>
        <v>0</v>
      </c>
      <c r="C212" s="25">
        <f>PRZEDMIAR!C215</f>
        <v>0</v>
      </c>
      <c r="D212" s="28" t="str">
        <f>PRZEDMIAR!D215</f>
        <v>Powierzchnia boczna przyczółków ulegająca zakryciu.</v>
      </c>
      <c r="E212" s="25">
        <f>PRZEDMIAR!E215</f>
        <v>0</v>
      </c>
      <c r="F212" s="25">
        <f>PRZEDMIAR!F215</f>
        <v>0</v>
      </c>
      <c r="G212" s="16"/>
      <c r="H212" s="16"/>
    </row>
    <row r="213" spans="1:10" s="26" customFormat="1" ht="30" customHeight="1" hidden="1">
      <c r="A213" s="25">
        <f>PRZEDMIAR!A216</f>
        <v>0</v>
      </c>
      <c r="B213" s="25">
        <f>PRZEDMIAR!B216</f>
        <v>0</v>
      </c>
      <c r="C213" s="25">
        <f>PRZEDMIAR!C216</f>
        <v>0</v>
      </c>
      <c r="D213" s="28" t="str">
        <f>PRZEDMIAR!D216</f>
        <v>4x2,5x2,5+7x2,52x7,8</v>
      </c>
      <c r="E213" s="25" t="str">
        <f>PRZEDMIAR!E216</f>
        <v>m2</v>
      </c>
      <c r="F213" s="25">
        <f>PRZEDMIAR!F216</f>
        <v>68.5</v>
      </c>
      <c r="G213" s="16"/>
      <c r="H213" s="16"/>
      <c r="J213" s="17"/>
    </row>
    <row r="214" spans="1:8" s="26" customFormat="1" ht="30" customHeight="1">
      <c r="A214" s="25" t="str">
        <f>PRZEDMIAR!A217</f>
        <v>x</v>
      </c>
      <c r="B214" s="25" t="str">
        <f>PRZEDMIAR!B217</f>
        <v>M 27.02.01</v>
      </c>
      <c r="C214" s="25"/>
      <c r="D214" s="28" t="str">
        <f>PRZEDMIAR!D217</f>
        <v>IZOLACJE ARKUSZOWE</v>
      </c>
      <c r="E214" s="25" t="str">
        <f>PRZEDMIAR!E217</f>
        <v>x</v>
      </c>
      <c r="F214" s="25" t="str">
        <f>PRZEDMIAR!F217</f>
        <v>x</v>
      </c>
      <c r="G214" s="14" t="s">
        <v>21</v>
      </c>
      <c r="H214" s="14" t="s">
        <v>21</v>
      </c>
    </row>
    <row r="215" spans="1:8" s="26" customFormat="1" ht="30" customHeight="1">
      <c r="A215" s="25">
        <f>PRZEDMIAR!A218</f>
        <v>45</v>
      </c>
      <c r="B215" s="25" t="str">
        <f>PRZEDMIAR!B218</f>
        <v>M 27.02.01</v>
      </c>
      <c r="C215" s="25" t="str">
        <f>PRZEDMIAR!C218</f>
        <v>01</v>
      </c>
      <c r="D215" s="28" t="str">
        <f>PRZEDMIAR!D218</f>
        <v>Koszt papy zgrzewalnej</v>
      </c>
      <c r="E215" s="25" t="str">
        <f>PRZEDMIAR!E218</f>
        <v>m2</v>
      </c>
      <c r="F215" s="25">
        <f>PRZEDMIAR!F218</f>
        <v>134.39999999999998</v>
      </c>
      <c r="G215" s="16"/>
      <c r="H215" s="16" t="str">
        <f>IF(ROUND(F215*G215,2)=0," ",ROUND(F215*G215,2))</f>
        <v> </v>
      </c>
    </row>
    <row r="216" spans="1:8" s="26" customFormat="1" ht="25.5" hidden="1">
      <c r="A216" s="25">
        <f>PRZEDMIAR!A219</f>
        <v>0</v>
      </c>
      <c r="B216" s="25">
        <f>PRZEDMIAR!B219</f>
        <v>0</v>
      </c>
      <c r="C216" s="25">
        <f>PRZEDMIAR!C219</f>
        <v>0</v>
      </c>
      <c r="D216" s="28" t="str">
        <f>PRZEDMIAR!D219</f>
        <v>Papa na płycie pomostu. Powierzchnia netto (bez zakładów). W cenie ostatecznej ująć powierzchnię na zakłady izolacji</v>
      </c>
      <c r="E216" s="25">
        <f>PRZEDMIAR!E219</f>
        <v>0</v>
      </c>
      <c r="F216" s="25">
        <f>PRZEDMIAR!F219</f>
        <v>0</v>
      </c>
      <c r="G216" s="16"/>
      <c r="H216" s="16"/>
    </row>
    <row r="217" spans="1:8" s="26" customFormat="1" ht="30" customHeight="1" hidden="1">
      <c r="A217" s="25">
        <f>PRZEDMIAR!A220</f>
        <v>0</v>
      </c>
      <c r="B217" s="25">
        <f>PRZEDMIAR!B220</f>
        <v>0</v>
      </c>
      <c r="C217" s="25">
        <f>PRZEDMIAR!C220</f>
        <v>0</v>
      </c>
      <c r="D217" s="28" t="str">
        <f>PRZEDMIAR!D220</f>
        <v>22,4x6 - z wyciągnięciem papy na poprzecznicę zamykającą</v>
      </c>
      <c r="E217" s="25" t="str">
        <f>PRZEDMIAR!E220</f>
        <v>m2</v>
      </c>
      <c r="F217" s="25">
        <f>PRZEDMIAR!F220</f>
        <v>134.39999999999998</v>
      </c>
      <c r="G217" s="16"/>
      <c r="H217" s="16"/>
    </row>
    <row r="218" spans="1:8" s="26" customFormat="1" ht="30" customHeight="1">
      <c r="A218" s="25">
        <f>PRZEDMIAR!A221</f>
        <v>46</v>
      </c>
      <c r="B218" s="25" t="str">
        <f>PRZEDMIAR!B221</f>
        <v>M 27.02.01</v>
      </c>
      <c r="C218" s="25" t="str">
        <f>PRZEDMIAR!C221</f>
        <v>51</v>
      </c>
      <c r="D218" s="28" t="str">
        <f>PRZEDMIAR!D221</f>
        <v>Wykonanie izolacji z papy zgrzewalnej na betonowych płaszczyznach poziomych - 1 x papa</v>
      </c>
      <c r="E218" s="25" t="str">
        <f>PRZEDMIAR!E221</f>
        <v>m2</v>
      </c>
      <c r="F218" s="25">
        <f>PRZEDMIAR!F221</f>
        <v>134.39999999999998</v>
      </c>
      <c r="G218" s="16"/>
      <c r="H218" s="16" t="str">
        <f>IF(ROUND(F218*G218,2)=0," ",ROUND(F218*G218,2))</f>
        <v> </v>
      </c>
    </row>
    <row r="219" spans="1:8" s="26" customFormat="1" ht="30" customHeight="1" hidden="1">
      <c r="A219" s="25">
        <f>PRZEDMIAR!A222</f>
        <v>0</v>
      </c>
      <c r="B219" s="25">
        <f>PRZEDMIAR!B222</f>
        <v>0</v>
      </c>
      <c r="C219" s="25">
        <f>PRZEDMIAR!C222</f>
        <v>0</v>
      </c>
      <c r="D219" s="28" t="str">
        <f>PRZEDMIAR!D222</f>
        <v>22,4x6 - z wyciągnięciem papy na poprzecznicę zamykającą</v>
      </c>
      <c r="E219" s="25" t="str">
        <f>PRZEDMIAR!E222</f>
        <v>m2</v>
      </c>
      <c r="F219" s="25">
        <f>PRZEDMIAR!F222</f>
        <v>134.39999999999998</v>
      </c>
      <c r="G219" s="16"/>
      <c r="H219" s="16"/>
    </row>
    <row r="220" spans="1:8" s="26" customFormat="1" ht="30" customHeight="1" hidden="1">
      <c r="A220" s="25"/>
      <c r="B220" s="29"/>
      <c r="C220" s="30"/>
      <c r="D220" s="192" t="str">
        <f>"RAZEM: "&amp;D208&amp;""</f>
        <v>RAZEM: HYDROIZOLACJA</v>
      </c>
      <c r="E220" s="192"/>
      <c r="F220" s="192"/>
      <c r="G220" s="192"/>
      <c r="H220" s="53" t="str">
        <f>IF(SUM(H211,H215,H218)=0," ",SUM(H211,H215,H218))</f>
        <v> </v>
      </c>
    </row>
    <row r="221" spans="1:10" ht="32.25" customHeight="1">
      <c r="A221" s="10"/>
      <c r="B221" s="14"/>
      <c r="C221" s="22"/>
      <c r="D221" s="222" t="str">
        <f>PRZEDMIAR!D224</f>
        <v>OGÓŁEM: HYDROIZOLACJA</v>
      </c>
      <c r="E221" s="223"/>
      <c r="F221" s="223"/>
      <c r="G221" s="224"/>
      <c r="H221" s="138" t="str">
        <f>IF(SUM(H211,H215,H218)=0," ",SUM(H211,H215,H218))</f>
        <v> </v>
      </c>
      <c r="J221" s="126"/>
    </row>
    <row r="222" spans="1:8" s="78" customFormat="1" ht="30" customHeight="1">
      <c r="A222" s="60" t="str">
        <f>PRZEDMIAR!A225</f>
        <v>2.10</v>
      </c>
      <c r="B222" s="60" t="str">
        <f>PRZEDMIAR!B225</f>
        <v>M 28.00.00</v>
      </c>
      <c r="C222" s="60"/>
      <c r="D222" s="61" t="str">
        <f>PRZEDMIAR!D225</f>
        <v>WYPOSAŻENIE</v>
      </c>
      <c r="E222" s="60" t="str">
        <f>PRZEDMIAR!E225</f>
        <v>x</v>
      </c>
      <c r="F222" s="60" t="str">
        <f>PRZEDMIAR!F225</f>
        <v>x</v>
      </c>
      <c r="G222" s="60" t="s">
        <v>21</v>
      </c>
      <c r="H222" s="60" t="s">
        <v>21</v>
      </c>
    </row>
    <row r="223" spans="1:8" s="26" customFormat="1" ht="30" customHeight="1">
      <c r="A223" s="25">
        <f>PRZEDMIAR!A226</f>
        <v>47</v>
      </c>
      <c r="B223" s="25" t="str">
        <f>PRZEDMIAR!B226</f>
        <v>M 28.01.01</v>
      </c>
      <c r="C223" s="25" t="str">
        <f>PRZEDMIAR!C226</f>
        <v>01</v>
      </c>
      <c r="D223" s="28" t="str">
        <f>PRZEDMIAR!D226</f>
        <v>Montaż balustrady stalowej "szczeblinkowej" o wysokości h=1100 mm</v>
      </c>
      <c r="E223" s="25" t="str">
        <f>PRZEDMIAR!E226</f>
        <v>m</v>
      </c>
      <c r="F223" s="25">
        <f>PRZEDMIAR!F226</f>
        <v>41.2</v>
      </c>
      <c r="G223" s="16"/>
      <c r="H223" s="16" t="str">
        <f>IF(ROUND(F223*G223,2)=0," ",ROUND(F223*G223,2))</f>
        <v> </v>
      </c>
    </row>
    <row r="224" spans="1:8" s="26" customFormat="1" ht="30" customHeight="1" hidden="1">
      <c r="A224" s="25">
        <f>PRZEDMIAR!A227</f>
        <v>0</v>
      </c>
      <c r="B224" s="25">
        <f>PRZEDMIAR!B227</f>
        <v>0</v>
      </c>
      <c r="C224" s="25">
        <f>PRZEDMIAR!C227</f>
        <v>0</v>
      </c>
      <c r="D224" s="28" t="str">
        <f>PRZEDMIAR!D227</f>
        <v>Montaż balustrady stalowej "szczeblinkowej" o wysokości h=1100 mm. Ilość stali wg rysunku konstrukcyjnego.</v>
      </c>
      <c r="E224" s="25">
        <f>PRZEDMIAR!E227</f>
        <v>0</v>
      </c>
      <c r="F224" s="25">
        <f>PRZEDMIAR!F227</f>
        <v>0</v>
      </c>
      <c r="G224" s="14"/>
      <c r="H224" s="14"/>
    </row>
    <row r="225" spans="1:8" s="26" customFormat="1" ht="30" customHeight="1" hidden="1">
      <c r="A225" s="25">
        <f>PRZEDMIAR!A228</f>
        <v>0</v>
      </c>
      <c r="B225" s="25">
        <f>PRZEDMIAR!B228</f>
        <v>0</v>
      </c>
      <c r="C225" s="25">
        <f>PRZEDMIAR!C228</f>
        <v>0</v>
      </c>
      <c r="D225" s="28" t="str">
        <f>PRZEDMIAR!D228</f>
        <v>L=20,60*2</v>
      </c>
      <c r="E225" s="25" t="str">
        <f>PRZEDMIAR!E228</f>
        <v>m</v>
      </c>
      <c r="F225" s="25">
        <f>PRZEDMIAR!F228</f>
        <v>41.2</v>
      </c>
      <c r="G225" s="14"/>
      <c r="H225" s="14"/>
    </row>
    <row r="226" spans="1:8" s="26" customFormat="1" ht="30" customHeight="1">
      <c r="A226" s="25">
        <f>PRZEDMIAR!A229</f>
        <v>48</v>
      </c>
      <c r="B226" s="25" t="str">
        <f>PRZEDMIAR!B229</f>
        <v>M 28.01.01</v>
      </c>
      <c r="C226" s="25" t="str">
        <f>PRZEDMIAR!C229</f>
        <v>71</v>
      </c>
      <c r="D226" s="28" t="str">
        <f>PRZEDMIAR!D229</f>
        <v>Wytworzenie balustrady stalowej "szczeblinkowej" o wysokości h=1100 mm</v>
      </c>
      <c r="E226" s="25" t="str">
        <f>PRZEDMIAR!E229</f>
        <v>kg</v>
      </c>
      <c r="F226" s="25">
        <v>2106</v>
      </c>
      <c r="G226" s="16"/>
      <c r="H226" s="16" t="str">
        <f>IF(ROUND(F226*G226,2)=0," ",ROUND(F226*G226,2))</f>
        <v> </v>
      </c>
    </row>
    <row r="227" spans="1:8" s="26" customFormat="1" ht="25.5" hidden="1">
      <c r="A227" s="25">
        <f>PRZEDMIAR!A230</f>
        <v>0</v>
      </c>
      <c r="B227" s="25">
        <f>PRZEDMIAR!B230</f>
        <v>0</v>
      </c>
      <c r="C227" s="25">
        <f>PRZEDMIAR!C230</f>
        <v>0</v>
      </c>
      <c r="D227" s="28" t="str">
        <f>PRZEDMIAR!D230</f>
        <v>Wytworzenie balustrady stalowej "szczeblinkowej" o wysokości h=1100 mm. Wg rysunku nr16. Balustrada stalowa.</v>
      </c>
      <c r="E227" s="25">
        <f>PRZEDMIAR!E230</f>
        <v>0</v>
      </c>
      <c r="F227" s="25">
        <f>PRZEDMIAR!F230</f>
        <v>0</v>
      </c>
      <c r="G227" s="14"/>
      <c r="H227" s="14"/>
    </row>
    <row r="228" spans="1:8" s="26" customFormat="1" ht="30" customHeight="1" hidden="1">
      <c r="A228" s="25">
        <f>PRZEDMIAR!A231</f>
        <v>0</v>
      </c>
      <c r="B228" s="25">
        <f>PRZEDMIAR!B231</f>
        <v>0</v>
      </c>
      <c r="C228" s="25">
        <f>PRZEDMIAR!C231</f>
        <v>0</v>
      </c>
      <c r="D228" s="28" t="str">
        <f>PRZEDMIAR!D231</f>
        <v>G=1053*2</v>
      </c>
      <c r="E228" s="25" t="str">
        <f>PRZEDMIAR!E231</f>
        <v>kg</v>
      </c>
      <c r="F228" s="25">
        <f>PRZEDMIAR!F231</f>
        <v>2106</v>
      </c>
      <c r="G228" s="16"/>
      <c r="H228" s="16"/>
    </row>
    <row r="229" spans="1:8" s="26" customFormat="1" ht="24" customHeight="1">
      <c r="A229" s="25">
        <f>PRZEDMIAR!A232</f>
        <v>49</v>
      </c>
      <c r="B229" s="25" t="str">
        <f>PRZEDMIAR!B232</f>
        <v>M 28.01.01</v>
      </c>
      <c r="C229" s="25" t="str">
        <f>PRZEDMIAR!C232</f>
        <v>81</v>
      </c>
      <c r="D229" s="28" t="str">
        <f>PRZEDMIAR!D232</f>
        <v>Zabezpieczenie antykorozyjne balustrad poprzez metalizację oraz doszczelnienie farbami na bazie żywic EP i PIUR</v>
      </c>
      <c r="E229" s="25" t="str">
        <f>PRZEDMIAR!E232</f>
        <v>m</v>
      </c>
      <c r="F229" s="25">
        <f>PRZEDMIAR!F232</f>
        <v>55.8</v>
      </c>
      <c r="G229" s="16"/>
      <c r="H229" s="16" t="str">
        <f>IF(ROUND(F229*G229,2)=0," ",ROUND(F229*G229,2))</f>
        <v> </v>
      </c>
    </row>
    <row r="230" spans="1:8" s="26" customFormat="1" ht="30" customHeight="1" hidden="1">
      <c r="A230" s="25">
        <f>PRZEDMIAR!A233</f>
        <v>0</v>
      </c>
      <c r="B230" s="25">
        <f>PRZEDMIAR!B233</f>
        <v>0</v>
      </c>
      <c r="C230" s="25">
        <f>PRZEDMIAR!C233</f>
        <v>0</v>
      </c>
      <c r="D230" s="28" t="str">
        <f>PRZEDMIAR!D233</f>
        <v>A=27,9*2</v>
      </c>
      <c r="E230" s="25" t="str">
        <f>PRZEDMIAR!E233</f>
        <v>m</v>
      </c>
      <c r="F230" s="25">
        <f>PRZEDMIAR!F233</f>
        <v>55.8</v>
      </c>
      <c r="G230" s="16"/>
      <c r="H230" s="16"/>
    </row>
    <row r="231" spans="1:10" ht="32.25" customHeight="1">
      <c r="A231" s="10"/>
      <c r="B231" s="14"/>
      <c r="C231" s="22"/>
      <c r="D231" s="222" t="str">
        <f>PRZEDMIAR!D234</f>
        <v>OGÓŁEM: WYPOSAŻENIE</v>
      </c>
      <c r="E231" s="223"/>
      <c r="F231" s="223"/>
      <c r="G231" s="224"/>
      <c r="H231" s="138" t="str">
        <f>IF(SUM(H223,H226,H229)=0," ",SUM(H223,H226,H229))</f>
        <v> </v>
      </c>
      <c r="J231" s="126"/>
    </row>
    <row r="232" spans="1:8" s="78" customFormat="1" ht="30" customHeight="1">
      <c r="A232" s="60" t="str">
        <f>PRZEDMIAR!A235</f>
        <v>2.11</v>
      </c>
      <c r="B232" s="60" t="str">
        <f>PRZEDMIAR!B235</f>
        <v>M 29.00.00</v>
      </c>
      <c r="C232" s="60"/>
      <c r="D232" s="61" t="str">
        <f>PRZEDMIAR!D235</f>
        <v>ROBOTY PRZYOBIEKTOWE</v>
      </c>
      <c r="E232" s="60" t="str">
        <f>PRZEDMIAR!E235</f>
        <v>x</v>
      </c>
      <c r="F232" s="60" t="str">
        <f>PRZEDMIAR!F235</f>
        <v>x</v>
      </c>
      <c r="G232" s="60" t="s">
        <v>21</v>
      </c>
      <c r="H232" s="60" t="s">
        <v>21</v>
      </c>
    </row>
    <row r="233" spans="1:8" s="26" customFormat="1" ht="30" customHeight="1">
      <c r="A233" s="14" t="str">
        <f>PRZEDMIAR!A236</f>
        <v>x</v>
      </c>
      <c r="B233" s="14" t="str">
        <f>PRZEDMIAR!B236</f>
        <v>M 29.01.01</v>
      </c>
      <c r="C233" s="14"/>
      <c r="D233" s="23" t="str">
        <f>PRZEDMIAR!D236</f>
        <v>ODWODNIENIE ZASYPKI PRZYCZÓŁKA</v>
      </c>
      <c r="E233" s="14" t="str">
        <f>PRZEDMIAR!E236</f>
        <v>x</v>
      </c>
      <c r="F233" s="14" t="str">
        <f>PRZEDMIAR!F236</f>
        <v>x</v>
      </c>
      <c r="G233" s="14" t="s">
        <v>21</v>
      </c>
      <c r="H233" s="14" t="s">
        <v>21</v>
      </c>
    </row>
    <row r="234" spans="1:8" s="26" customFormat="1" ht="30" customHeight="1">
      <c r="A234" s="10">
        <f>PRZEDMIAR!A237</f>
        <v>50</v>
      </c>
      <c r="B234" s="10" t="str">
        <f>PRZEDMIAR!B237</f>
        <v>M 29.01.01</v>
      </c>
      <c r="C234" s="10" t="str">
        <f>PRZEDMIAR!C237</f>
        <v>14</v>
      </c>
      <c r="D234" s="15" t="str">
        <f>PRZEDMIAR!D237</f>
        <v>Wykonanie odwodnienia zasypki przyczółka rurą perforowaną fi 125 mm otoczonej kruszywem łamanym 8/16 w osłonie geowłókniny</v>
      </c>
      <c r="E234" s="10" t="str">
        <f>PRZEDMIAR!E237</f>
        <v>m</v>
      </c>
      <c r="F234" s="10">
        <f>PRZEDMIAR!F237</f>
        <v>18</v>
      </c>
      <c r="G234" s="16"/>
      <c r="H234" s="16" t="str">
        <f>IF(ROUND(F234*G234,2)=0," ",ROUND(F234*G234,2))</f>
        <v> </v>
      </c>
    </row>
    <row r="235" spans="1:8" s="26" customFormat="1" ht="38.25" hidden="1">
      <c r="A235" s="10">
        <f>PRZEDMIAR!A238</f>
        <v>0</v>
      </c>
      <c r="B235" s="10">
        <f>PRZEDMIAR!B238</f>
        <v>0</v>
      </c>
      <c r="C235" s="10">
        <f>PRZEDMIAR!C238</f>
        <v>0</v>
      </c>
      <c r="D235" s="15" t="str">
        <f>PRZEDMIAR!D238</f>
        <v>Wykonanie odwodnienia zasypki przyczółka rurą perforowaną fi 125 mm (2/3 drenażowe, 1/3 pełna) ułożonej na ławie betonowej - szczegół wg rys. ogólnego. Rura w drenie z kruszywa 8/16 w osłonie z geowłókniny </v>
      </c>
      <c r="E235" s="10">
        <f>PRZEDMIAR!E238</f>
        <v>0</v>
      </c>
      <c r="F235" s="10">
        <f>PRZEDMIAR!F238</f>
        <v>0</v>
      </c>
      <c r="G235" s="16"/>
      <c r="H235" s="16"/>
    </row>
    <row r="236" spans="1:8" s="26" customFormat="1" ht="30" customHeight="1" hidden="1">
      <c r="A236" s="10">
        <f>PRZEDMIAR!A239</f>
        <v>0</v>
      </c>
      <c r="B236" s="10">
        <f>PRZEDMIAR!B239</f>
        <v>0</v>
      </c>
      <c r="C236" s="10">
        <f>PRZEDMIAR!C239</f>
        <v>0</v>
      </c>
      <c r="D236" s="15" t="str">
        <f>PRZEDMIAR!D239</f>
        <v>9x2</v>
      </c>
      <c r="E236" s="10" t="str">
        <f>PRZEDMIAR!E239</f>
        <v>m</v>
      </c>
      <c r="F236" s="10">
        <f>PRZEDMIAR!F239</f>
        <v>18</v>
      </c>
      <c r="G236" s="16"/>
      <c r="H236" s="16"/>
    </row>
    <row r="237" spans="1:10" ht="32.25" customHeight="1">
      <c r="A237" s="10"/>
      <c r="B237" s="14"/>
      <c r="C237" s="22"/>
      <c r="D237" s="222" t="str">
        <f>PRZEDMIAR!D240</f>
        <v>OGÓŁEM: ROBOTY PRZYOBIEKTOWE</v>
      </c>
      <c r="E237" s="223"/>
      <c r="F237" s="223"/>
      <c r="G237" s="224"/>
      <c r="H237" s="138" t="str">
        <f>IF(SUM(H234)=0," ",SUM(H234))</f>
        <v> </v>
      </c>
      <c r="J237" s="126"/>
    </row>
    <row r="238" spans="1:9" s="26" customFormat="1" ht="30" customHeight="1">
      <c r="A238" s="60" t="str">
        <f>PRZEDMIAR!A241</f>
        <v>2.12</v>
      </c>
      <c r="B238" s="60" t="str">
        <f>PRZEDMIAR!B241</f>
        <v>M 29.30.00</v>
      </c>
      <c r="C238" s="60"/>
      <c r="D238" s="61" t="str">
        <f>PRZEDMIAR!D241</f>
        <v>ROBOTY REGULACYJNE</v>
      </c>
      <c r="E238" s="60" t="str">
        <f>PRZEDMIAR!E241</f>
        <v>x</v>
      </c>
      <c r="F238" s="60" t="str">
        <f>PRZEDMIAR!F241</f>
        <v>x</v>
      </c>
      <c r="G238" s="60" t="s">
        <v>21</v>
      </c>
      <c r="H238" s="60" t="s">
        <v>21</v>
      </c>
      <c r="I238" s="100"/>
    </row>
    <row r="239" spans="1:8" s="26" customFormat="1" ht="30" customHeight="1">
      <c r="A239" s="14" t="str">
        <f>PRZEDMIAR!A242</f>
        <v>x</v>
      </c>
      <c r="B239" s="14" t="str">
        <f>PRZEDMIAR!B242</f>
        <v>M 29.30.01</v>
      </c>
      <c r="C239" s="14"/>
      <c r="D239" s="23" t="str">
        <f>PRZEDMIAR!D242</f>
        <v>UMOCNIENIE KONSTRUKCJAMI KAMIENNYMI SKARP I DNA RZEK, KANALÓW I ROWÓW</v>
      </c>
      <c r="E239" s="14" t="str">
        <f>PRZEDMIAR!E242</f>
        <v>x</v>
      </c>
      <c r="F239" s="14" t="str">
        <f>PRZEDMIAR!F242</f>
        <v>x</v>
      </c>
      <c r="G239" s="14" t="s">
        <v>21</v>
      </c>
      <c r="H239" s="14" t="s">
        <v>21</v>
      </c>
    </row>
    <row r="240" spans="1:8" s="26" customFormat="1" ht="30" customHeight="1">
      <c r="A240" s="10">
        <f>PRZEDMIAR!A243</f>
        <v>51</v>
      </c>
      <c r="B240" s="10" t="str">
        <f>PRZEDMIAR!B243</f>
        <v>M 29.30.01</v>
      </c>
      <c r="C240" s="10" t="str">
        <f>PRZEDMIAR!C243</f>
        <v>01</v>
      </c>
      <c r="D240" s="15" t="str">
        <f>PRZEDMIAR!D243</f>
        <v>Wykonanie narzutu kamiennego z brzegu</v>
      </c>
      <c r="E240" s="10" t="str">
        <f>PRZEDMIAR!E243</f>
        <v>m3</v>
      </c>
      <c r="F240" s="10">
        <f>PRZEDMIAR!F243</f>
        <v>87.5</v>
      </c>
      <c r="G240" s="16"/>
      <c r="H240" s="16" t="str">
        <f>IF(ROUND(F240*G240,2)=0," ",ROUND(F240*G240,2))</f>
        <v> </v>
      </c>
    </row>
    <row r="241" spans="1:8" s="26" customFormat="1" ht="66" customHeight="1" hidden="1">
      <c r="A241" s="10">
        <f>PRZEDMIAR!A244</f>
        <v>0</v>
      </c>
      <c r="B241" s="10">
        <f>PRZEDMIAR!B244</f>
        <v>0</v>
      </c>
      <c r="C241" s="10">
        <f>PRZEDMIAR!C244</f>
        <v>0</v>
      </c>
      <c r="D241" s="15" t="str">
        <f>PRZEDMIAR!D244</f>
        <v>Wykonanie opaski kamiennej z kamienia łamanego o średnicy kamienia min. 50 cm z uszczelnieniem opaski na powierzchni sposobem brukarskim z zaklinowaniem szczelin kamieniem o srednicy 30 cm z dodatkowym zasypaniem ziemią i obsianiem traw - dowiązanie umocnieniami do brzegu rzeki na końcu i na początku umocnień</v>
      </c>
      <c r="E241" s="10">
        <f>PRZEDMIAR!E244</f>
        <v>0</v>
      </c>
      <c r="F241" s="10">
        <f>PRZEDMIAR!F244</f>
        <v>0</v>
      </c>
      <c r="G241" s="14"/>
      <c r="H241" s="14"/>
    </row>
    <row r="242" spans="1:8" s="26" customFormat="1" ht="30" customHeight="1" hidden="1">
      <c r="A242" s="10">
        <f>PRZEDMIAR!A245</f>
        <v>0</v>
      </c>
      <c r="B242" s="10">
        <f>PRZEDMIAR!B245</f>
        <v>0</v>
      </c>
      <c r="C242" s="10">
        <f>PRZEDMIAR!C245</f>
        <v>0</v>
      </c>
      <c r="D242" s="15" t="str">
        <f>PRZEDMIAR!D245</f>
        <v>(15+20)x2,5</v>
      </c>
      <c r="E242" s="10" t="str">
        <f>PRZEDMIAR!E245</f>
        <v>m3</v>
      </c>
      <c r="F242" s="10">
        <f>PRZEDMIAR!F245</f>
        <v>87.5</v>
      </c>
      <c r="G242" s="14"/>
      <c r="H242" s="14"/>
    </row>
    <row r="243" spans="1:10" ht="32.25" customHeight="1">
      <c r="A243" s="10"/>
      <c r="B243" s="14"/>
      <c r="C243" s="22"/>
      <c r="D243" s="222" t="str">
        <f>PRZEDMIAR!D246</f>
        <v>OGÓŁEM: ROBOTY REGULACYJNE</v>
      </c>
      <c r="E243" s="223"/>
      <c r="F243" s="223"/>
      <c r="G243" s="224"/>
      <c r="H243" s="138" t="str">
        <f>IF(SUM(H240)=0," ",SUM(H240))</f>
        <v> </v>
      </c>
      <c r="J243" s="126"/>
    </row>
    <row r="244" spans="1:8" s="78" customFormat="1" ht="30" customHeight="1">
      <c r="A244" s="60" t="str">
        <f>PRZEDMIAR!A247</f>
        <v>2.13</v>
      </c>
      <c r="B244" s="60" t="str">
        <f>PRZEDMIAR!B247</f>
        <v>M 30.00.00</v>
      </c>
      <c r="C244" s="60"/>
      <c r="D244" s="61" t="str">
        <f>PRZEDMIAR!D247</f>
        <v>ROBOTY NAWIERZCHNIOWE I ZABEZPIECZAJĄCE</v>
      </c>
      <c r="E244" s="60" t="str">
        <f>PRZEDMIAR!E247</f>
        <v>x</v>
      </c>
      <c r="F244" s="60" t="str">
        <f>PRZEDMIAR!F247</f>
        <v>x</v>
      </c>
      <c r="G244" s="60" t="s">
        <v>21</v>
      </c>
      <c r="H244" s="60" t="s">
        <v>21</v>
      </c>
    </row>
    <row r="245" spans="1:8" s="26" customFormat="1" ht="30" customHeight="1">
      <c r="A245" s="14" t="str">
        <f>PRZEDMIAR!A248</f>
        <v>x</v>
      </c>
      <c r="B245" s="14" t="str">
        <f>PRZEDMIAR!B248</f>
        <v>M 30.05.02</v>
      </c>
      <c r="C245" s="14"/>
      <c r="D245" s="23" t="str">
        <f>PRZEDMIAR!D248</f>
        <v>NAWIERZCHNIA Z ŻYWIC SYNTETYCZNYCH</v>
      </c>
      <c r="E245" s="14" t="str">
        <f>PRZEDMIAR!E248</f>
        <v>x</v>
      </c>
      <c r="F245" s="14" t="str">
        <f>PRZEDMIAR!F248</f>
        <v>x</v>
      </c>
      <c r="G245" s="14" t="s">
        <v>21</v>
      </c>
      <c r="H245" s="14" t="s">
        <v>21</v>
      </c>
    </row>
    <row r="246" spans="1:8" s="26" customFormat="1" ht="30" customHeight="1">
      <c r="A246" s="10">
        <f>PRZEDMIAR!A249</f>
        <v>52</v>
      </c>
      <c r="B246" s="10" t="str">
        <f>PRZEDMIAR!B249</f>
        <v>M 30.05.02</v>
      </c>
      <c r="C246" s="10">
        <f>PRZEDMIAR!C249</f>
        <v>53</v>
      </c>
      <c r="D246" s="15" t="str">
        <f>PRZEDMIAR!D249</f>
        <v>Zabezpieczenie powierzchni belki poręczowej oraz oczepu filara z żywicy poliuretanowo - epoksydowej - analogia</v>
      </c>
      <c r="E246" s="10" t="str">
        <f>PRZEDMIAR!E249</f>
        <v>m2</v>
      </c>
      <c r="F246" s="10">
        <f>PRZEDMIAR!F249</f>
        <v>17.5</v>
      </c>
      <c r="G246" s="16"/>
      <c r="H246" s="16" t="str">
        <f>IF(ROUND(F246*G246,2)=0," ",ROUND(F246*G246,2))</f>
        <v> </v>
      </c>
    </row>
    <row r="247" spans="1:8" s="26" customFormat="1" ht="25.5" hidden="1">
      <c r="A247" s="10">
        <f>PRZEDMIAR!A250</f>
        <v>0</v>
      </c>
      <c r="B247" s="10">
        <f>PRZEDMIAR!B250</f>
        <v>0</v>
      </c>
      <c r="C247" s="10">
        <f>PRZEDMIAR!C250</f>
        <v>0</v>
      </c>
      <c r="D247" s="15" t="str">
        <f>PRZEDMIAR!D250</f>
        <v>Przygotowanie powierzchni betonu belki poręczowej oraz oczepu poprzez czyszczenie strumieniowo-ścierne</v>
      </c>
      <c r="E247" s="10">
        <f>PRZEDMIAR!E250</f>
        <v>0</v>
      </c>
      <c r="F247" s="10">
        <f>PRZEDMIAR!F250</f>
        <v>0</v>
      </c>
      <c r="G247" s="16"/>
      <c r="H247" s="16"/>
    </row>
    <row r="248" spans="1:8" s="26" customFormat="1" ht="30" customHeight="1" hidden="1">
      <c r="A248" s="10">
        <f>PRZEDMIAR!A251</f>
        <v>0</v>
      </c>
      <c r="B248" s="10">
        <f>PRZEDMIAR!B251</f>
        <v>0</v>
      </c>
      <c r="C248" s="10">
        <f>PRZEDMIAR!C251</f>
        <v>0</v>
      </c>
      <c r="D248" s="15" t="str">
        <f>PRZEDMIAR!D251</f>
        <v>Belka poręczowa: A=2x0,35x20,90=14,7; oczep filara: A=0,50x0,65x4+1,20x0,65x2</v>
      </c>
      <c r="E248" s="10" t="str">
        <f>PRZEDMIAR!E251</f>
        <v>m2</v>
      </c>
      <c r="F248" s="10">
        <f>PRZEDMIAR!F251</f>
        <v>17.5</v>
      </c>
      <c r="G248" s="10"/>
      <c r="H248" s="16"/>
    </row>
    <row r="249" spans="1:8" s="26" customFormat="1" ht="25.5" hidden="1">
      <c r="A249" s="10">
        <f>PRZEDMIAR!A252</f>
        <v>0</v>
      </c>
      <c r="B249" s="10">
        <f>PRZEDMIAR!B252</f>
        <v>0</v>
      </c>
      <c r="C249" s="10">
        <f>PRZEDMIAR!C252</f>
        <v>0</v>
      </c>
      <c r="D249" s="15" t="str">
        <f>PRZEDMIAR!D252</f>
        <v>Gruntowanie powierzchni przeznaczonej pod ułożenie nawierzchni z żywic epoksydowych</v>
      </c>
      <c r="E249" s="10" t="str">
        <f>PRZEDMIAR!E252</f>
        <v>m2</v>
      </c>
      <c r="F249" s="10">
        <f>PRZEDMIAR!F252</f>
        <v>17.5</v>
      </c>
      <c r="G249" s="16"/>
      <c r="H249" s="16"/>
    </row>
    <row r="250" spans="1:8" s="26" customFormat="1" ht="19.5" customHeight="1" hidden="1">
      <c r="A250" s="10">
        <f>PRZEDMIAR!A253</f>
        <v>0</v>
      </c>
      <c r="B250" s="10">
        <f>PRZEDMIAR!B253</f>
        <v>0</v>
      </c>
      <c r="C250" s="10">
        <f>PRZEDMIAR!C253</f>
        <v>0</v>
      </c>
      <c r="D250" s="15" t="str">
        <f>PRZEDMIAR!D253</f>
        <v>Wykonanie zabezpieczenia nelki poręczowej oraz oczepu z żywicy poliuretanowo - epoksydowej</v>
      </c>
      <c r="E250" s="10" t="str">
        <f>PRZEDMIAR!E253</f>
        <v>m2</v>
      </c>
      <c r="F250" s="10">
        <f>PRZEDMIAR!F253</f>
        <v>17.5</v>
      </c>
      <c r="G250" s="16"/>
      <c r="H250" s="16"/>
    </row>
    <row r="251" spans="1:10" ht="32.25" customHeight="1">
      <c r="A251" s="10"/>
      <c r="B251" s="14"/>
      <c r="C251" s="22"/>
      <c r="D251" s="222" t="str">
        <f>PRZEDMIAR!D254</f>
        <v>RAZEM: ROBOTY NAWIERZCHNIOWE I ZABEZPIECZAJĄCE</v>
      </c>
      <c r="E251" s="223"/>
      <c r="F251" s="223"/>
      <c r="G251" s="224"/>
      <c r="H251" s="138" t="str">
        <f>IF(SUM(H246)=0," ",SUM(H246))</f>
        <v> </v>
      </c>
      <c r="J251" s="126"/>
    </row>
    <row r="252" spans="1:10" s="26" customFormat="1" ht="30" customHeight="1">
      <c r="A252" s="195" t="str">
        <f>PRZEDMIAR!A255</f>
        <v>OGÓŁEM: ROBOTY MOSTOWE</v>
      </c>
      <c r="B252" s="229"/>
      <c r="C252" s="229"/>
      <c r="D252" s="229"/>
      <c r="E252" s="229"/>
      <c r="F252" s="229"/>
      <c r="G252" s="229"/>
      <c r="H252" s="54" t="str">
        <f>IF(SUM(H251,H243,H237,H231,H221,H207,H198,H192,H185,H174,H162,H147,H127)=0," ",SUM(H251,H243,H237,H231,H221,H207,H198,H192,H185,H174,H162,H147,H127))</f>
        <v> </v>
      </c>
      <c r="J252" s="139"/>
    </row>
    <row r="253" spans="1:11" s="26" customFormat="1" ht="40.5" customHeight="1">
      <c r="A253" s="191" t="str">
        <f>PRZEDMIAR!A256</f>
        <v>RAZEM: REMONT MOSTU </v>
      </c>
      <c r="B253" s="191"/>
      <c r="C253" s="191"/>
      <c r="D253" s="191"/>
      <c r="E253" s="191"/>
      <c r="F253" s="191"/>
      <c r="G253" s="191"/>
      <c r="H253" s="55" t="str">
        <f>IF(SUM(H252,H111)=0," ",(SUM(H252,H111)))</f>
        <v> </v>
      </c>
      <c r="J253" s="139"/>
      <c r="K253" s="140"/>
    </row>
    <row r="254" spans="1:8" s="26" customFormat="1" ht="30" customHeight="1">
      <c r="A254" s="191" t="str">
        <f>PRZEDMIAR!A257</f>
        <v>PODATEK VAT 23%</v>
      </c>
      <c r="B254" s="191"/>
      <c r="C254" s="191"/>
      <c r="D254" s="191"/>
      <c r="E254" s="191"/>
      <c r="F254" s="191"/>
      <c r="G254" s="191"/>
      <c r="H254" s="55" t="str">
        <f>IF(SUM(H253)=0," ",(SUM(H253*0.23)))</f>
        <v> </v>
      </c>
    </row>
    <row r="255" spans="1:8" s="26" customFormat="1" ht="30" customHeight="1">
      <c r="A255" s="191" t="str">
        <f>PRZEDMIAR!A258</f>
        <v>RAZEM: REMONT MOSTU </v>
      </c>
      <c r="B255" s="191"/>
      <c r="C255" s="191"/>
      <c r="D255" s="191"/>
      <c r="E255" s="191"/>
      <c r="F255" s="191"/>
      <c r="G255" s="191"/>
      <c r="H255" s="55" t="str">
        <f>IF(SUM(H254,H253)=0," ",(SUM(H254,H253)))</f>
        <v> </v>
      </c>
    </row>
    <row r="256" spans="1:8" s="26" customFormat="1" ht="30" customHeight="1">
      <c r="A256" s="31"/>
      <c r="B256" s="31"/>
      <c r="C256" s="32"/>
      <c r="D256" s="33"/>
      <c r="E256" s="34"/>
      <c r="F256" s="63"/>
      <c r="G256" s="35"/>
      <c r="H256" s="35"/>
    </row>
    <row r="257" spans="1:8" s="26" customFormat="1" ht="30" customHeight="1">
      <c r="A257" s="31"/>
      <c r="B257" s="31"/>
      <c r="C257" s="32"/>
      <c r="D257" s="33"/>
      <c r="E257" s="34"/>
      <c r="F257" s="63"/>
      <c r="G257" s="35"/>
      <c r="H257" s="35"/>
    </row>
    <row r="258" spans="1:8" s="26" customFormat="1" ht="30" customHeight="1">
      <c r="A258" s="31"/>
      <c r="B258" s="31"/>
      <c r="C258" s="32"/>
      <c r="D258" s="33"/>
      <c r="E258" s="34"/>
      <c r="F258" s="63"/>
      <c r="G258" s="35"/>
      <c r="H258" s="35"/>
    </row>
    <row r="259" spans="1:8" s="34" customFormat="1" ht="30" customHeight="1">
      <c r="A259" s="31"/>
      <c r="B259" s="31"/>
      <c r="C259" s="32"/>
      <c r="D259" s="33"/>
      <c r="F259" s="63"/>
      <c r="G259" s="35"/>
      <c r="H259" s="35"/>
    </row>
    <row r="260" spans="1:8" s="34" customFormat="1" ht="30" customHeight="1">
      <c r="A260" s="31"/>
      <c r="B260" s="31"/>
      <c r="C260" s="32"/>
      <c r="D260" s="33"/>
      <c r="F260" s="63"/>
      <c r="G260" s="35"/>
      <c r="H260" s="35"/>
    </row>
    <row r="261" spans="1:8" s="34" customFormat="1" ht="30" customHeight="1">
      <c r="A261" s="31"/>
      <c r="B261" s="31"/>
      <c r="C261" s="32"/>
      <c r="D261" s="33"/>
      <c r="F261" s="63"/>
      <c r="G261" s="35"/>
      <c r="H261" s="35"/>
    </row>
    <row r="262" spans="1:8" s="34" customFormat="1" ht="54.75" customHeight="1">
      <c r="A262" s="31"/>
      <c r="B262" s="31"/>
      <c r="C262" s="32"/>
      <c r="D262" s="33"/>
      <c r="F262" s="63"/>
      <c r="G262" s="35"/>
      <c r="H262" s="35"/>
    </row>
    <row r="263" spans="1:8" s="34" customFormat="1" ht="30" customHeight="1">
      <c r="A263" s="31"/>
      <c r="B263" s="31"/>
      <c r="C263" s="32"/>
      <c r="D263" s="33"/>
      <c r="F263" s="63"/>
      <c r="G263" s="35"/>
      <c r="H263" s="35"/>
    </row>
    <row r="264" spans="1:8" s="34" customFormat="1" ht="30" customHeight="1">
      <c r="A264" s="31"/>
      <c r="B264" s="31"/>
      <c r="C264" s="32"/>
      <c r="D264" s="33"/>
      <c r="F264" s="63"/>
      <c r="G264" s="35"/>
      <c r="H264" s="35"/>
    </row>
    <row r="265" spans="1:8" s="34" customFormat="1" ht="39.75" customHeight="1">
      <c r="A265" s="31"/>
      <c r="B265" s="31"/>
      <c r="C265" s="32"/>
      <c r="D265" s="33"/>
      <c r="F265" s="63"/>
      <c r="G265" s="35"/>
      <c r="H265" s="35"/>
    </row>
    <row r="266" spans="1:8" s="34" customFormat="1" ht="30" customHeight="1">
      <c r="A266" s="31"/>
      <c r="B266" s="31"/>
      <c r="C266" s="32"/>
      <c r="D266" s="33"/>
      <c r="F266" s="63"/>
      <c r="G266" s="35"/>
      <c r="H266" s="35"/>
    </row>
    <row r="267" spans="1:8" s="34" customFormat="1" ht="30" customHeight="1">
      <c r="A267" s="31"/>
      <c r="B267" s="31"/>
      <c r="C267" s="32"/>
      <c r="D267" s="33"/>
      <c r="F267" s="63"/>
      <c r="G267" s="35"/>
      <c r="H267" s="35"/>
    </row>
    <row r="268" spans="1:8" s="34" customFormat="1" ht="30" customHeight="1">
      <c r="A268" s="31"/>
      <c r="B268" s="31"/>
      <c r="C268" s="32"/>
      <c r="D268" s="33"/>
      <c r="F268" s="63"/>
      <c r="G268" s="35"/>
      <c r="H268" s="35"/>
    </row>
    <row r="269" spans="1:8" s="34" customFormat="1" ht="56.25" customHeight="1">
      <c r="A269" s="31"/>
      <c r="B269" s="31"/>
      <c r="C269" s="32"/>
      <c r="D269" s="33"/>
      <c r="F269" s="63"/>
      <c r="G269" s="35"/>
      <c r="H269" s="35"/>
    </row>
    <row r="270" spans="1:8" s="34" customFormat="1" ht="30" customHeight="1">
      <c r="A270" s="31"/>
      <c r="B270" s="31"/>
      <c r="C270" s="32"/>
      <c r="D270" s="33"/>
      <c r="F270" s="63"/>
      <c r="G270" s="35"/>
      <c r="H270" s="35"/>
    </row>
    <row r="271" spans="1:8" s="34" customFormat="1" ht="30" customHeight="1">
      <c r="A271" s="31"/>
      <c r="B271" s="31"/>
      <c r="C271" s="32"/>
      <c r="D271" s="33"/>
      <c r="F271" s="63"/>
      <c r="G271" s="35"/>
      <c r="H271" s="35"/>
    </row>
    <row r="272" spans="1:8" s="34" customFormat="1" ht="30" customHeight="1">
      <c r="A272" s="31"/>
      <c r="B272" s="31"/>
      <c r="C272" s="32"/>
      <c r="D272" s="33"/>
      <c r="F272" s="63"/>
      <c r="G272" s="35"/>
      <c r="H272" s="35"/>
    </row>
    <row r="273" spans="1:8" s="34" customFormat="1" ht="30" customHeight="1">
      <c r="A273" s="31"/>
      <c r="B273" s="31"/>
      <c r="C273" s="32"/>
      <c r="D273" s="33"/>
      <c r="F273" s="63"/>
      <c r="G273" s="35"/>
      <c r="H273" s="35"/>
    </row>
    <row r="274" spans="1:8" s="34" customFormat="1" ht="30" customHeight="1">
      <c r="A274" s="31"/>
      <c r="B274" s="31"/>
      <c r="C274" s="32"/>
      <c r="D274" s="33"/>
      <c r="F274" s="63"/>
      <c r="G274" s="35"/>
      <c r="H274" s="35"/>
    </row>
    <row r="275" spans="1:8" s="34" customFormat="1" ht="30" customHeight="1">
      <c r="A275" s="31"/>
      <c r="B275" s="31"/>
      <c r="C275" s="32"/>
      <c r="D275" s="33"/>
      <c r="F275" s="63"/>
      <c r="G275" s="35"/>
      <c r="H275" s="35"/>
    </row>
    <row r="276" spans="1:8" s="34" customFormat="1" ht="30" customHeight="1">
      <c r="A276" s="31"/>
      <c r="B276" s="31"/>
      <c r="C276" s="32"/>
      <c r="D276" s="33"/>
      <c r="F276" s="63"/>
      <c r="G276" s="35"/>
      <c r="H276" s="35"/>
    </row>
    <row r="277" spans="1:8" s="34" customFormat="1" ht="30" customHeight="1">
      <c r="A277" s="31"/>
      <c r="B277" s="31"/>
      <c r="C277" s="32"/>
      <c r="D277" s="33"/>
      <c r="F277" s="63"/>
      <c r="G277" s="35"/>
      <c r="H277" s="35"/>
    </row>
    <row r="278" spans="1:8" s="34" customFormat="1" ht="30" customHeight="1">
      <c r="A278" s="36"/>
      <c r="B278" s="36"/>
      <c r="C278" s="37"/>
      <c r="D278" s="38"/>
      <c r="E278" s="17"/>
      <c r="F278" s="64"/>
      <c r="G278" s="39"/>
      <c r="H278" s="39"/>
    </row>
    <row r="279" spans="1:8" s="34" customFormat="1" ht="30" customHeight="1">
      <c r="A279" s="36"/>
      <c r="B279" s="36"/>
      <c r="C279" s="37"/>
      <c r="D279" s="38"/>
      <c r="E279" s="17"/>
      <c r="F279" s="64"/>
      <c r="G279" s="39"/>
      <c r="H279" s="39"/>
    </row>
    <row r="280" spans="1:8" s="34" customFormat="1" ht="30" customHeight="1">
      <c r="A280" s="36"/>
      <c r="B280" s="36"/>
      <c r="C280" s="37"/>
      <c r="D280" s="38"/>
      <c r="E280" s="17"/>
      <c r="F280" s="64"/>
      <c r="G280" s="39"/>
      <c r="H280" s="39"/>
    </row>
    <row r="281" spans="1:8" s="34" customFormat="1" ht="30" customHeight="1">
      <c r="A281" s="36"/>
      <c r="B281" s="36"/>
      <c r="C281" s="37"/>
      <c r="D281" s="38"/>
      <c r="E281" s="17"/>
      <c r="F281" s="64"/>
      <c r="G281" s="39"/>
      <c r="H281" s="39"/>
    </row>
    <row r="282" spans="1:8" s="34" customFormat="1" ht="30" customHeight="1">
      <c r="A282" s="36"/>
      <c r="B282" s="36"/>
      <c r="C282" s="37"/>
      <c r="D282" s="38"/>
      <c r="E282" s="17"/>
      <c r="F282" s="64"/>
      <c r="G282" s="39"/>
      <c r="H282" s="39"/>
    </row>
    <row r="283" spans="1:8" s="34" customFormat="1" ht="30" customHeight="1">
      <c r="A283" s="36"/>
      <c r="B283" s="36"/>
      <c r="C283" s="37"/>
      <c r="D283" s="38"/>
      <c r="E283" s="17"/>
      <c r="F283" s="64"/>
      <c r="G283" s="39"/>
      <c r="H283" s="39"/>
    </row>
    <row r="284" spans="1:8" s="34" customFormat="1" ht="30" customHeight="1">
      <c r="A284" s="36"/>
      <c r="B284" s="36"/>
      <c r="C284" s="37"/>
      <c r="D284" s="38"/>
      <c r="E284" s="17"/>
      <c r="F284" s="64"/>
      <c r="G284" s="39"/>
      <c r="H284" s="39"/>
    </row>
    <row r="285" spans="1:8" s="34" customFormat="1" ht="30" customHeight="1">
      <c r="A285" s="36"/>
      <c r="B285" s="36"/>
      <c r="C285" s="37"/>
      <c r="D285" s="38"/>
      <c r="E285" s="17"/>
      <c r="F285" s="64"/>
      <c r="G285" s="39"/>
      <c r="H285" s="39"/>
    </row>
    <row r="286" spans="1:8" s="34" customFormat="1" ht="30" customHeight="1">
      <c r="A286" s="36"/>
      <c r="B286" s="36"/>
      <c r="C286" s="37"/>
      <c r="D286" s="38"/>
      <c r="E286" s="17"/>
      <c r="F286" s="64"/>
      <c r="G286" s="39"/>
      <c r="H286" s="39"/>
    </row>
    <row r="287" spans="1:8" s="34" customFormat="1" ht="30" customHeight="1">
      <c r="A287" s="36"/>
      <c r="B287" s="36"/>
      <c r="C287" s="37"/>
      <c r="D287" s="38"/>
      <c r="E287" s="17"/>
      <c r="F287" s="64"/>
      <c r="G287" s="39"/>
      <c r="H287" s="39"/>
    </row>
    <row r="288" spans="1:8" s="34" customFormat="1" ht="30" customHeight="1">
      <c r="A288" s="36"/>
      <c r="B288" s="36"/>
      <c r="C288" s="37"/>
      <c r="D288" s="38"/>
      <c r="E288" s="17"/>
      <c r="F288" s="64"/>
      <c r="G288" s="39"/>
      <c r="H288" s="39"/>
    </row>
    <row r="289" spans="1:8" s="34" customFormat="1" ht="30" customHeight="1">
      <c r="A289" s="36"/>
      <c r="B289" s="36"/>
      <c r="C289" s="37"/>
      <c r="D289" s="38"/>
      <c r="E289" s="17"/>
      <c r="F289" s="64"/>
      <c r="G289" s="39"/>
      <c r="H289" s="39"/>
    </row>
    <row r="290" spans="1:8" s="34" customFormat="1" ht="30" customHeight="1">
      <c r="A290" s="36"/>
      <c r="B290" s="36"/>
      <c r="C290" s="37"/>
      <c r="D290" s="38"/>
      <c r="E290" s="17"/>
      <c r="F290" s="64"/>
      <c r="G290" s="39"/>
      <c r="H290" s="39"/>
    </row>
    <row r="291" spans="1:8" s="34" customFormat="1" ht="30" customHeight="1">
      <c r="A291" s="36"/>
      <c r="B291" s="36"/>
      <c r="C291" s="37"/>
      <c r="D291" s="38"/>
      <c r="E291" s="17"/>
      <c r="F291" s="64"/>
      <c r="G291" s="39"/>
      <c r="H291" s="39"/>
    </row>
    <row r="292" spans="1:8" s="34" customFormat="1" ht="30" customHeight="1">
      <c r="A292" s="36"/>
      <c r="B292" s="36"/>
      <c r="C292" s="37"/>
      <c r="D292" s="38"/>
      <c r="E292" s="17"/>
      <c r="F292" s="64"/>
      <c r="G292" s="39"/>
      <c r="H292" s="39"/>
    </row>
    <row r="293" spans="1:8" s="34" customFormat="1" ht="30" customHeight="1">
      <c r="A293" s="36"/>
      <c r="B293" s="36"/>
      <c r="C293" s="37"/>
      <c r="D293" s="38"/>
      <c r="E293" s="17"/>
      <c r="F293" s="64"/>
      <c r="G293" s="39"/>
      <c r="H293" s="39"/>
    </row>
    <row r="294" spans="1:8" s="34" customFormat="1" ht="30" customHeight="1">
      <c r="A294" s="36"/>
      <c r="B294" s="36"/>
      <c r="C294" s="37"/>
      <c r="D294" s="38"/>
      <c r="E294" s="17"/>
      <c r="F294" s="64"/>
      <c r="G294" s="39"/>
      <c r="H294" s="39"/>
    </row>
    <row r="295" spans="1:8" s="34" customFormat="1" ht="30" customHeight="1">
      <c r="A295" s="36"/>
      <c r="B295" s="36"/>
      <c r="C295" s="37"/>
      <c r="D295" s="38"/>
      <c r="E295" s="17"/>
      <c r="F295" s="64"/>
      <c r="G295" s="39"/>
      <c r="H295" s="39"/>
    </row>
    <row r="296" spans="1:8" s="34" customFormat="1" ht="30" customHeight="1">
      <c r="A296" s="36"/>
      <c r="B296" s="36"/>
      <c r="C296" s="37"/>
      <c r="D296" s="38"/>
      <c r="E296" s="17"/>
      <c r="F296" s="64"/>
      <c r="G296" s="39"/>
      <c r="H296" s="39"/>
    </row>
    <row r="297" spans="1:8" s="34" customFormat="1" ht="30" customHeight="1">
      <c r="A297" s="36"/>
      <c r="B297" s="36"/>
      <c r="C297" s="37"/>
      <c r="D297" s="38"/>
      <c r="E297" s="17"/>
      <c r="F297" s="64"/>
      <c r="G297" s="39"/>
      <c r="H297" s="39"/>
    </row>
    <row r="298" spans="1:8" s="34" customFormat="1" ht="30" customHeight="1">
      <c r="A298" s="36"/>
      <c r="B298" s="36"/>
      <c r="C298" s="37"/>
      <c r="D298" s="38"/>
      <c r="E298" s="17"/>
      <c r="F298" s="64"/>
      <c r="G298" s="39"/>
      <c r="H298" s="39"/>
    </row>
    <row r="299" spans="1:8" s="34" customFormat="1" ht="30" customHeight="1">
      <c r="A299" s="36"/>
      <c r="B299" s="36"/>
      <c r="C299" s="37"/>
      <c r="D299" s="38"/>
      <c r="E299" s="17"/>
      <c r="F299" s="64"/>
      <c r="G299" s="39"/>
      <c r="H299" s="39"/>
    </row>
    <row r="300" spans="1:8" s="34" customFormat="1" ht="30" customHeight="1">
      <c r="A300" s="36"/>
      <c r="B300" s="36"/>
      <c r="C300" s="37"/>
      <c r="D300" s="38"/>
      <c r="E300" s="17"/>
      <c r="F300" s="64"/>
      <c r="G300" s="39"/>
      <c r="H300" s="39"/>
    </row>
    <row r="301" spans="1:8" s="34" customFormat="1" ht="30" customHeight="1">
      <c r="A301" s="36"/>
      <c r="B301" s="36"/>
      <c r="C301" s="37"/>
      <c r="D301" s="38"/>
      <c r="E301" s="17"/>
      <c r="F301" s="64"/>
      <c r="G301" s="39"/>
      <c r="H301" s="39"/>
    </row>
    <row r="302" spans="1:8" s="34" customFormat="1" ht="30" customHeight="1">
      <c r="A302" s="36"/>
      <c r="B302" s="36"/>
      <c r="C302" s="37"/>
      <c r="D302" s="38"/>
      <c r="E302" s="17"/>
      <c r="F302" s="64"/>
      <c r="G302" s="39"/>
      <c r="H302" s="39"/>
    </row>
    <row r="303" spans="1:8" s="34" customFormat="1" ht="30" customHeight="1">
      <c r="A303" s="36"/>
      <c r="B303" s="36"/>
      <c r="C303" s="37"/>
      <c r="D303" s="38"/>
      <c r="E303" s="17"/>
      <c r="F303" s="64"/>
      <c r="G303" s="39"/>
      <c r="H303" s="39"/>
    </row>
  </sheetData>
  <sheetProtection/>
  <mergeCells count="38">
    <mergeCell ref="A255:G255"/>
    <mergeCell ref="A2:H2"/>
    <mergeCell ref="A3:H3"/>
    <mergeCell ref="B7:H7"/>
    <mergeCell ref="D237:G237"/>
    <mergeCell ref="D243:G243"/>
    <mergeCell ref="D251:G251"/>
    <mergeCell ref="A252:G252"/>
    <mergeCell ref="A253:G253"/>
    <mergeCell ref="A254:G254"/>
    <mergeCell ref="D207:G207"/>
    <mergeCell ref="D220:G220"/>
    <mergeCell ref="D221:G221"/>
    <mergeCell ref="D231:G231"/>
    <mergeCell ref="D185:G185"/>
    <mergeCell ref="D192:G192"/>
    <mergeCell ref="D198:G198"/>
    <mergeCell ref="D147:G147"/>
    <mergeCell ref="D162:G162"/>
    <mergeCell ref="D174:G174"/>
    <mergeCell ref="D110:G110"/>
    <mergeCell ref="A111:G111"/>
    <mergeCell ref="B112:H112"/>
    <mergeCell ref="D127:G127"/>
    <mergeCell ref="D40:G40"/>
    <mergeCell ref="D69:G69"/>
    <mergeCell ref="D78:G78"/>
    <mergeCell ref="D101:G101"/>
    <mergeCell ref="D26:G26"/>
    <mergeCell ref="D89:G89"/>
    <mergeCell ref="A1:H1"/>
    <mergeCell ref="A5:A6"/>
    <mergeCell ref="B5:B6"/>
    <mergeCell ref="C5:C6"/>
    <mergeCell ref="D5:D6"/>
    <mergeCell ref="E5:F5"/>
    <mergeCell ref="G5:G6"/>
    <mergeCell ref="H5:H6"/>
  </mergeCells>
  <printOptions/>
  <pageMargins left="0.5905511811023623" right="0.1968503937007874" top="0.3937007874015748" bottom="0.3937007874015748" header="0.3937007874015748" footer="0.5118110236220472"/>
  <pageSetup firstPageNumber="4" useFirstPageNumber="1" fitToHeight="0" fitToWidth="1" horizontalDpi="300" verticalDpi="300" orientation="portrait" paperSize="9" scale="69" r:id="rId1"/>
  <rowBreaks count="4" manualBreakCount="4">
    <brk id="40" max="7" man="1"/>
    <brk id="111" max="7" man="1"/>
    <brk id="185" max="7" man="1"/>
    <brk id="2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Gaździk</dc:creator>
  <cp:keywords/>
  <dc:description/>
  <cp:lastModifiedBy>uzytkownik</cp:lastModifiedBy>
  <cp:lastPrinted>2016-04-28T14:24:39Z</cp:lastPrinted>
  <dcterms:created xsi:type="dcterms:W3CDTF">2004-10-02T15:15:25Z</dcterms:created>
  <dcterms:modified xsi:type="dcterms:W3CDTF">2016-05-17T06:38:44Z</dcterms:modified>
  <cp:category/>
  <cp:version/>
  <cp:contentType/>
  <cp:contentStatus/>
</cp:coreProperties>
</file>