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0" windowWidth="12345" windowHeight="12855" tabRatio="706" activeTab="3"/>
  </bookViews>
  <sheets>
    <sheet name="OKŁADKA_P" sheetId="1" r:id="rId1"/>
    <sheet name="TABELE" sheetId="2" r:id="rId2"/>
    <sheet name="PRZEDMIAR" sheetId="3" r:id="rId3"/>
    <sheet name="OKŁADKA_OFERTOWY" sheetId="4" r:id="rId4"/>
    <sheet name="ZESTAWIENIE" sheetId="5" r:id="rId5"/>
    <sheet name="OFERTOWY" sheetId="6" r:id="rId6"/>
  </sheets>
  <externalReferences>
    <externalReference r:id="rId9"/>
  </externalReferences>
  <definedNames>
    <definedName name="_xlnm.Print_Area" localSheetId="5">'OFERTOWY'!$A$1:$H$120</definedName>
    <definedName name="_xlnm.Print_Area" localSheetId="3">'OKŁADKA_OFERTOWY'!$A$1:$I$45</definedName>
    <definedName name="_xlnm.Print_Area" localSheetId="0">'OKŁADKA_P'!$A$1:$I$48</definedName>
    <definedName name="_xlnm.Print_Area" localSheetId="2">'PRZEDMIAR'!$A$1:$H$214</definedName>
    <definedName name="_xlnm.Print_Area" localSheetId="1">'TABELE'!$A$1:$I$67</definedName>
    <definedName name="_xlnm.Print_Titles" localSheetId="5">'OFERTOWY'!$5:$6</definedName>
    <definedName name="_xlnm.Print_Titles" localSheetId="2">'PRZEDMIAR'!$5:$6</definedName>
  </definedNames>
  <calcPr fullCalcOnLoad="1"/>
</workbook>
</file>

<file path=xl/sharedStrings.xml><?xml version="1.0" encoding="utf-8"?>
<sst xmlns="http://schemas.openxmlformats.org/spreadsheetml/2006/main" count="898" uniqueCount="403">
  <si>
    <t>M 29.30.01</t>
  </si>
  <si>
    <t>UMOCNIENIE KONSTRUKCJAMI KAMIENNYMI SKARP I DNA RZEK, KANALÓW I ROWÓW</t>
  </si>
  <si>
    <t>M 29.00.00</t>
  </si>
  <si>
    <t>Lp.</t>
  </si>
  <si>
    <t>km</t>
  </si>
  <si>
    <t>RAZEM</t>
  </si>
  <si>
    <t>m</t>
  </si>
  <si>
    <t>D 01.01.01</t>
  </si>
  <si>
    <t>kg</t>
  </si>
  <si>
    <t>Sporządził:</t>
  </si>
  <si>
    <t>(podpis i pieczęć)</t>
  </si>
  <si>
    <t>CZĘŚĆ ZBIORCZA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</si>
  <si>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</si>
  <si>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</si>
  <si>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</si>
  <si>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</si>
  <si>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</si>
  <si>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</si>
  <si>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</si>
  <si>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</si>
  <si>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</si>
  <si>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</si>
  <si>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</si>
  <si>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PRZYOBIEKTOWE</t>
  </si>
  <si>
    <t>Numer  SST (podstawa wyceny)</t>
  </si>
  <si>
    <t>Numer pozycji cenowej</t>
  </si>
  <si>
    <t>Ilość</t>
  </si>
  <si>
    <t>Odtworzenie (wyznaczenie) trasy i punktów wysokościowych</t>
  </si>
  <si>
    <t>D 01.00.00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</si>
  <si>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</si>
  <si>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</si>
  <si>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</si>
  <si>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</si>
  <si>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</si>
  <si>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</si>
  <si>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</si>
  <si>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</si>
  <si>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OGÓŁEM: ROBOTY DROGOWE</t>
  </si>
  <si>
    <t>ROBOTY MOSTOWE</t>
  </si>
  <si>
    <t>01</t>
  </si>
  <si>
    <t>11</t>
  </si>
  <si>
    <t>Wyznaczenie trasy i punktów wysokościowych w terenie równinnym</t>
  </si>
  <si>
    <t>D 01.02.03</t>
  </si>
  <si>
    <t>Wyburzenie obiektów budowlanych</t>
  </si>
  <si>
    <t>D 04.00.00</t>
  </si>
  <si>
    <t>PODBUDOWY</t>
  </si>
  <si>
    <t>D 04.01.01</t>
  </si>
  <si>
    <t>Koryto wraz z profilowaniem i zagęszczaniem podłoża</t>
  </si>
  <si>
    <t>M 28.00.00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</si>
  <si>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</si>
  <si>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</si>
  <si>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</si>
  <si>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</si>
  <si>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</si>
  <si>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</si>
  <si>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51</t>
  </si>
  <si>
    <t>M 30.00.00</t>
  </si>
  <si>
    <t>ROBOTY NAWIERZCHNIOWE I ZABEZPIECZAJĄCE</t>
  </si>
  <si>
    <t>22</t>
  </si>
  <si>
    <t>12</t>
  </si>
  <si>
    <t>D 04.03.01</t>
  </si>
  <si>
    <t>Oczyszczenie warstw konstrukcyjnych mechanicznie</t>
  </si>
  <si>
    <t>Skropienie warstw konstrukcyjnych emulsją asfaltową</t>
  </si>
  <si>
    <t>szt</t>
  </si>
  <si>
    <t>15</t>
  </si>
  <si>
    <t>71</t>
  </si>
  <si>
    <t>M 23.00.00</t>
  </si>
  <si>
    <t>USTROJE NOŚNE</t>
  </si>
  <si>
    <t>IZOLACJE ARKUSZOWE</t>
  </si>
  <si>
    <t>M 27.02.01</t>
  </si>
  <si>
    <t>M 26.00.00</t>
  </si>
  <si>
    <t>ODWODNIENIE</t>
  </si>
  <si>
    <t>M 26.01.02</t>
  </si>
  <si>
    <t>SĄCZKI DLA ODWODNIENIA IZOLACJI</t>
  </si>
  <si>
    <t>M 26.01.03</t>
  </si>
  <si>
    <t>D 01.02.04</t>
  </si>
  <si>
    <t>Rozbiórka elementów dróg, ogrodzeń i przepustów</t>
  </si>
  <si>
    <t>zł (netto)</t>
  </si>
  <si>
    <t>Słownie</t>
  </si>
  <si>
    <t>32</t>
  </si>
  <si>
    <t>M 25.00.00</t>
  </si>
  <si>
    <t>URZĄDZENIA DYLATACYJNE</t>
  </si>
  <si>
    <t>WYPOSAŻENIE</t>
  </si>
  <si>
    <t>Wyznaczenie punktów charakterystycznych dla robót umacniających brzegi i dno rzeki</t>
  </si>
  <si>
    <t>D 04.07.01</t>
  </si>
  <si>
    <t>Podbudowa z betonu asfaltowego</t>
  </si>
  <si>
    <r>
      <t>Ogółem wartość robót</t>
    </r>
    <r>
      <rPr>
        <sz val="10"/>
        <rFont val="Arial"/>
        <family val="2"/>
      </rPr>
      <t>:</t>
    </r>
  </si>
  <si>
    <t>Część</t>
  </si>
  <si>
    <t>szt.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</si>
  <si>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</si>
  <si>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</si>
  <si>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km1</t>
  </si>
  <si>
    <t>km2</t>
  </si>
  <si>
    <t>km rzeki</t>
  </si>
  <si>
    <t>Odtworzenie trasy drogi i mostu:</t>
  </si>
  <si>
    <t>dzielnik</t>
  </si>
  <si>
    <t>NAZWA ZADANIA:</t>
  </si>
  <si>
    <t xml:space="preserve">m </t>
  </si>
  <si>
    <t>RAZEM:</t>
  </si>
  <si>
    <t>-</t>
  </si>
  <si>
    <t>Lp</t>
  </si>
  <si>
    <t>Element</t>
  </si>
  <si>
    <t>Długość</t>
  </si>
  <si>
    <t>Szerokosć</t>
  </si>
  <si>
    <t>Wysokość</t>
  </si>
  <si>
    <t>Objętość razem</t>
  </si>
  <si>
    <t>Objętość jednego elementu</t>
  </si>
  <si>
    <t>OGÓŁEM ROZBIÓRKI:</t>
  </si>
  <si>
    <t>14</t>
  </si>
  <si>
    <t>SUMA</t>
  </si>
  <si>
    <t>ilość stron</t>
  </si>
  <si>
    <t>oczyszczenie warstw bitumicznych</t>
  </si>
  <si>
    <t>skropienie warstw bitumicznych</t>
  </si>
  <si>
    <t>stron</t>
  </si>
  <si>
    <t>długość</t>
  </si>
  <si>
    <t>szerokość płyty</t>
  </si>
  <si>
    <t>długość płyty</t>
  </si>
  <si>
    <t>długość drenu</t>
  </si>
  <si>
    <t>mnożnik</t>
  </si>
  <si>
    <t>ilość sączków</t>
  </si>
  <si>
    <t>długośc dylatacji</t>
  </si>
  <si>
    <t>wysokość</t>
  </si>
  <si>
    <t>szerokość</t>
  </si>
  <si>
    <t>ciężar stali</t>
  </si>
  <si>
    <t>ilość skrzydeł</t>
  </si>
  <si>
    <t>ilość</t>
  </si>
  <si>
    <t>spawy</t>
  </si>
  <si>
    <t>PODATEK VAT 23%</t>
  </si>
  <si>
    <t>PRZEDMIAR ROBÓT</t>
  </si>
  <si>
    <t>Rozbiórki obiektów kubaturowych wraz z odwozem elementów i gruzu na składowisko Wykonawcy - elementy betonowe i żelbetowe</t>
  </si>
  <si>
    <t>M 22.00.00</t>
  </si>
  <si>
    <t>współczynnik</t>
  </si>
  <si>
    <t xml:space="preserve">Wykopy - część drogowa, na odkład, Wykopy za przyczółkami w zakresie adaptacji istniejącego przyczółka do nowych rozwiązań. </t>
  </si>
  <si>
    <t>sztuk</t>
  </si>
  <si>
    <t>KORPUSY PODPÓR</t>
  </si>
  <si>
    <t>M 23.05.00</t>
  </si>
  <si>
    <t>USTROJE STALOWE</t>
  </si>
  <si>
    <t>M 23.05.01</t>
  </si>
  <si>
    <t>t</t>
  </si>
  <si>
    <t>87</t>
  </si>
  <si>
    <t>Zabezpieczenie antykorozyjne konstrukcji stalowej poprzez malowanie farbami na bazie żywic EP i PUR</t>
  </si>
  <si>
    <t>31</t>
  </si>
  <si>
    <t>stal konstrukcyjna</t>
  </si>
  <si>
    <t>sworznie</t>
  </si>
  <si>
    <t>istniejąca stal</t>
  </si>
  <si>
    <t>projektowana stal</t>
  </si>
  <si>
    <t>spoiny</t>
  </si>
  <si>
    <t>M 23.10.00</t>
  </si>
  <si>
    <t>PŁYTY POMOSTU ZESPOLONE Z KONSTRUKCJĄ STALOWĄ</t>
  </si>
  <si>
    <t>M 23.10.01</t>
  </si>
  <si>
    <t>Wykonanie płyty pomostu konstrukcji zespolonej z betonu klasy C30/37 (B35)  - nad wodą z wykonaniem rusztowań i deskowań</t>
  </si>
  <si>
    <t>Wykonanie przekrycia dylatacyjnego "uciąglenie nawierzchni" poprzez wypełnienie szczeliny masą trwaleplastyczną</t>
  </si>
  <si>
    <t>Odległości</t>
  </si>
  <si>
    <t>Pow. oczyszczenia niebitumiczne</t>
  </si>
  <si>
    <t>oczyszczenie warstw niebitumicznych</t>
  </si>
  <si>
    <t>skropienie warstw niebitumicznych</t>
  </si>
  <si>
    <t>Powierzchnia nasypu</t>
  </si>
  <si>
    <t>Powierzchnia wykopu</t>
  </si>
  <si>
    <t>Objętość nasypu</t>
  </si>
  <si>
    <t>Objętość wykopu</t>
  </si>
  <si>
    <t>obwód</t>
  </si>
  <si>
    <t>plyta pomostu</t>
  </si>
  <si>
    <t>RAZEM ROZBIÓRKA MOSTU x 15%:</t>
  </si>
  <si>
    <t xml:space="preserve">REMONT MOSTU </t>
  </si>
  <si>
    <t>przekrój kosza</t>
  </si>
  <si>
    <t>Profilowanie i oczyszczenie dna rzeki</t>
  </si>
  <si>
    <t>Profilowanie i oczyszczenie dna rzeki. Wykopy pod umocnienie skarp koszami siatkowo - kamiennymi</t>
  </si>
  <si>
    <t>Montaż saczków odwodnienia izolacji - sączki z HDPE śr. 48mm</t>
  </si>
  <si>
    <t>ilość drenów</t>
  </si>
  <si>
    <t>Dreny podlużne przy kraweżniku z odprowadzeniem do sączków</t>
  </si>
  <si>
    <t>Wytworzenie konstrukcji stalowej rusztu z istniejących dźwigarów. Adaptacja istniejących dźwigarów zgodnie z uwagami przedstawionymi na rysunku (m.in. dostosowanie konstrukcji do projektowanych rozwiązań, szlifowanie po połączeniach). Obmiar wg rys. konstrukcyjnego rusztu stalowego. Transport z miejsca budowy do wytwórni konstrukcji stalowych i na miejsce wbudowania.</t>
  </si>
  <si>
    <t>całkowita</t>
  </si>
  <si>
    <t>Skropienie wastwy ochronnej na moście, warstwy wiążącej i odcinków dowiązania na drodze: wg tab. 2</t>
  </si>
  <si>
    <t>M 29.01.01</t>
  </si>
  <si>
    <t>ODWODNIENIE ZASYPKI PRZYCZÓŁKA</t>
  </si>
  <si>
    <t>ilosć</t>
  </si>
  <si>
    <t>długość rury</t>
  </si>
  <si>
    <t>M 29.03.01</t>
  </si>
  <si>
    <t>Wykonanie zasypki przyczółka - zasypanie przestrzeni za ścianami przyczółka gruntem niespoistym</t>
  </si>
  <si>
    <t>podstawa dolna</t>
  </si>
  <si>
    <t>podstawa górna</t>
  </si>
  <si>
    <t>ława fundamentowa</t>
  </si>
  <si>
    <t>Wykonanie odwodnienia zasypki przyczółka rurą perforowaną fi 125 mm otoczonej kruszywem łamanym 8/16 w osłonie geowłókniny</t>
  </si>
  <si>
    <t xml:space="preserve">WYKONANIE ZASYPKI PRZYCZÓŁKA </t>
  </si>
  <si>
    <r>
      <t>m</t>
    </r>
    <r>
      <rPr>
        <b/>
        <vertAlign val="superscript"/>
        <sz val="8"/>
        <rFont val="Arial"/>
        <family val="2"/>
      </rPr>
      <t>2</t>
    </r>
  </si>
  <si>
    <t>Rozebranie podbudowy z kruszywa o średniej grubości do 40 cm</t>
  </si>
  <si>
    <t>Wykonanie podbudowy z tłucznia kamiennego 0/31,5, gr. w-wy 20cm. Obmiar wg tab. 2</t>
  </si>
  <si>
    <t>Wykonanie koszy siatkowo - kamiennych 100x50 cm</t>
  </si>
  <si>
    <t>Wykonanie wykopów w gruntach kategorii I-V z transportem urobku na odkład/nasyp na miejsce składowe Wykonawcy</t>
  </si>
  <si>
    <t>Roboty ziemne poprzeczne (bez transportu) wykonywane mechanicznie w gr. kat. I-V - wbudowanie w skarpy rzeki</t>
  </si>
  <si>
    <t>Wykopy - część rzeczna, na odkład, Wykopy związane z wykonaniem umocnień przy przyczółkach (naddatek z robót ziemnych)</t>
  </si>
  <si>
    <t>..........................................</t>
  </si>
  <si>
    <t>Powierzchnia koryta</t>
  </si>
  <si>
    <t>Powierzchnia w-wy mrozoochronnej z pospółki</t>
  </si>
  <si>
    <t>Pow. podbudowy z tłucznia kamiennego</t>
  </si>
  <si>
    <t>Pow. podbudowy zasadniczej z BA</t>
  </si>
  <si>
    <t>Powierzchnia warstwy ścieralnej z BA</t>
  </si>
  <si>
    <t>od str. dz. 2708</t>
  </si>
  <si>
    <t>Powierzchnie oszacowano na podstawie rysunku sytuacyjnego</t>
  </si>
  <si>
    <t>Pow. oczyszczenia bitumiczne - zasadnicza</t>
  </si>
  <si>
    <t>Koryto na całej szerokości korpusu drogi pod wykonanie warstwy mrozoochronnej na odcinkach wykopów</t>
  </si>
  <si>
    <t>D 04.02.02</t>
  </si>
  <si>
    <t>Warstwa mrozoochronna</t>
  </si>
  <si>
    <r>
      <t>m</t>
    </r>
    <r>
      <rPr>
        <vertAlign val="superscript"/>
        <sz val="10"/>
        <rFont val="Arial Narrow"/>
        <family val="2"/>
      </rPr>
      <t>2</t>
    </r>
  </si>
  <si>
    <t>Wykonanie podbudowy z betonu asfaltowego o uziarnieniu 0/16, gr. w-wy 5 cm. Obmiar wg tab. 2</t>
  </si>
  <si>
    <t>M 21.00.00</t>
  </si>
  <si>
    <t>FUNDAMENTY</t>
  </si>
  <si>
    <t>ŁAWY FUNDAMENTOWE</t>
  </si>
  <si>
    <t xml:space="preserve">Obmiar wg rys. nr zbrojenia płyty pomostu </t>
  </si>
  <si>
    <t>ilość um. brzegów</t>
  </si>
  <si>
    <t>podstawa</t>
  </si>
  <si>
    <t>2 rząd</t>
  </si>
  <si>
    <t>długości</t>
  </si>
  <si>
    <t>podstawa i 1 rząd</t>
  </si>
  <si>
    <t>3 rząd</t>
  </si>
  <si>
    <t>4 rząd</t>
  </si>
  <si>
    <t>5 rząd</t>
  </si>
  <si>
    <t xml:space="preserve">głębokośc wkopania </t>
  </si>
  <si>
    <t>M 29.30.00</t>
  </si>
  <si>
    <t>ROBOTY REGULACYJNE</t>
  </si>
  <si>
    <t>most</t>
  </si>
  <si>
    <t>Powierzchnia warstwy ochronnej z BA</t>
  </si>
  <si>
    <t>2.1</t>
  </si>
  <si>
    <t>2.</t>
  </si>
  <si>
    <t>1.</t>
  </si>
  <si>
    <t>2.2</t>
  </si>
  <si>
    <t>2.3</t>
  </si>
  <si>
    <t>2.4</t>
  </si>
  <si>
    <t>2.5</t>
  </si>
  <si>
    <t>2.6</t>
  </si>
  <si>
    <t>1.1</t>
  </si>
  <si>
    <t>Gmina Jaśliska</t>
  </si>
  <si>
    <t>38-485 Jaśliska</t>
  </si>
  <si>
    <t>Jaśliska 171</t>
  </si>
  <si>
    <t>(nazwa i adres Inwestora)</t>
  </si>
  <si>
    <t>................................</t>
  </si>
  <si>
    <t>Humusowanie</t>
  </si>
  <si>
    <t>Zdjecie humusu</t>
  </si>
  <si>
    <t>Powierzchnia humusowania</t>
  </si>
  <si>
    <t>LEWY PRZED MOSTEM</t>
  </si>
  <si>
    <t>PRAWY PRZED MOSTEM</t>
  </si>
  <si>
    <t>LEWY ZA MOSTEM</t>
  </si>
  <si>
    <t>PRAWY ZA MOSTEM</t>
  </si>
  <si>
    <t>Powierzchnia zdjęcia humusu</t>
  </si>
  <si>
    <t>ZESTAWIENIE ZBIORCZE</t>
  </si>
  <si>
    <t>Współczynnik</t>
  </si>
  <si>
    <t>wartość końcowa</t>
  </si>
  <si>
    <r>
      <t>m</t>
    </r>
    <r>
      <rPr>
        <vertAlign val="superscript"/>
        <sz val="10"/>
        <rFont val="Arial"/>
        <family val="2"/>
      </rPr>
      <t>3</t>
    </r>
  </si>
  <si>
    <t xml:space="preserve">przekró płytyj </t>
  </si>
  <si>
    <t>m2</t>
  </si>
  <si>
    <t>D 06.00.00</t>
  </si>
  <si>
    <t>ROBOTY WYKOŃCZENIOWE</t>
  </si>
  <si>
    <t>D 06.01.01</t>
  </si>
  <si>
    <t>2.7</t>
  </si>
  <si>
    <t>D 01.02.02</t>
  </si>
  <si>
    <t>Zdjęcie warstwy humusu lub (i) darniny</t>
  </si>
  <si>
    <t>Dla skarp brzegów koryta rzeki. Obmiar wg tab. 3</t>
  </si>
  <si>
    <t>Oczyszczenie warstwy ochronnej na moście i warstwy podbudowy na drodze. Powierzchnia wg tab. 2</t>
  </si>
  <si>
    <t>1.2</t>
  </si>
  <si>
    <t>1.3</t>
  </si>
  <si>
    <t>1.4</t>
  </si>
  <si>
    <t>1.5</t>
  </si>
  <si>
    <t>2.8</t>
  </si>
  <si>
    <t>2.9</t>
  </si>
  <si>
    <t>2.10</t>
  </si>
  <si>
    <t>2.11</t>
  </si>
  <si>
    <t>Remont mostu łączącego drogi na działkach ewidencyjnych nr 729/1 oraz 2708 w Posadzie Jaśliskiej. Kilometraż obiektu: 0+053</t>
  </si>
  <si>
    <t>Data opracowania: marzec 2015</t>
  </si>
  <si>
    <t xml:space="preserve">TABELA NR 1. ROZBIÓRKA ISTNIEJĄCEGO MOSTU-wg rys. stanu istniejącego </t>
  </si>
  <si>
    <t>betonowa poprzecznica</t>
  </si>
  <si>
    <t>korpus + ława fundamentowa</t>
  </si>
  <si>
    <t>skrzydełka</t>
  </si>
  <si>
    <t>ława fundamentowa pod skrzydełkami</t>
  </si>
  <si>
    <t>od strony dz. 729/1</t>
  </si>
  <si>
    <t>TABELA NR 3. ROBOTY ZIEMNE PRZY UMOCNIENIACH POTOKU</t>
  </si>
  <si>
    <t>TABELA NR 2. ROBOTY DROGOWE I NAWIERZCHNIOWE</t>
  </si>
  <si>
    <t>Lpł</t>
  </si>
  <si>
    <t xml:space="preserve">Rozebranie korpusów, ław fundamentowych, skrzydełek, poprzecznic podporowych i ustroju nosnego. Obmiar wg tab. 1. </t>
  </si>
  <si>
    <t>Rozbiórka rusztu stalowego konstrukcji nośnej mostu (dźwigary nośne wraz z poprzecznicami) - materiał częściowo do ponownego wykorzystania</t>
  </si>
  <si>
    <t>Wg tabeli 2:</t>
  </si>
  <si>
    <t>Wykopy - część rzeczna, na przerzut z ponownym uformowaniem skarp rzeki. Grunt do ponownego wykorzystania w ilości zgodnej z tab. Nr 3. Grunt do ponownego wbudowania na miejscu budowy w skarpy potoku - wbudowanie, plantowanie, obsianie trawą</t>
  </si>
  <si>
    <t xml:space="preserve">Rozebranie podbudowy z kruszywa o grubości do 40 cm w zakresie adaptacji dojazdów i na długości skarp roboczych (wykopu) przy odtworzeniu przyczółków (uwzględnić częściową rozbiórkę warstw bitumicznych), materiał do wbudowania na miejscu (przy umacnianiu koryta potoku). </t>
  </si>
  <si>
    <t>wysokość wykopu</t>
  </si>
  <si>
    <t>M 22.01.01</t>
  </si>
  <si>
    <t>M 21.20.01</t>
  </si>
  <si>
    <t>Betonowanie ławy z bet. C25/30 (B30) przy użyciu pompy na samochodzie</t>
  </si>
  <si>
    <t>Wykonanie zbrojenia ław ze stali klasy AIIIN</t>
  </si>
  <si>
    <t>Przygotowanie zbrojenia na budowie, fundamenty podpór, obmiar wg części rysunkowej</t>
  </si>
  <si>
    <t>M 21.20.00</t>
  </si>
  <si>
    <t>Betonowanie przyczółka z bet.   C25/30 (B30) przy użyciu pompy na samochodzie, z pompą.</t>
  </si>
  <si>
    <t>Wykonanie zbrojenia korpusów przyczółków ze stali kl. AIIIN</t>
  </si>
  <si>
    <t>Przygotowanie zbrojenia na budowie, korpusy podpór, stal AIIIN. Obmiar wg części rysunkowej</t>
  </si>
  <si>
    <t>Montaż konstrukcji blachownicowej ze stali Rr&lt;400 MPa i rozp. przęsła do 20m - nad wodą</t>
  </si>
  <si>
    <t xml:space="preserve">Dźwigary główne - IP 360. Poprzecznice staroużyteczne - CE 360. Obmiar wg rys. konstrukcyjnego rusztu stalowego. </t>
  </si>
  <si>
    <t>Wytworzenie konstrukcji stalowej ze stali Rr&lt;400 MPa - istniejące dźwigary adaptowane na poprzecznice</t>
  </si>
  <si>
    <t>Wytworzenie konstrukcji stalowej dźwigarów. Obmiar wg rys. konstrukcyjnego rusztu stalowego.</t>
  </si>
  <si>
    <t>Wytworzenie konstrukcji stalowej ze stali Rr&lt;400 Mpa - projektowana konstrukcja stalowa wraz ze sworzniami (elementy nowe)</t>
  </si>
  <si>
    <t>Obmiar wg rys. Zbrojenia płyty pomostu. W zestawieniu stali ujęto wykonanie i wbudowanie drobnych konstrukcji stalowych jak np. kotwy stalowe, marki</t>
  </si>
  <si>
    <t>M 28.03.01</t>
  </si>
  <si>
    <t>Montaż balustrady stalowej "szczeblinkowej"  o wys. H=1100mm</t>
  </si>
  <si>
    <t>BALUSTRADY STALOWE NA OBIEKTACH MOSTOWYCH</t>
  </si>
  <si>
    <t>Wytworzenie balustrady stalowej</t>
  </si>
  <si>
    <t>81</t>
  </si>
  <si>
    <t>Zabezpieczenie antykorozyjne balustrad poprzez metalizację oraz doszczenienie farbami na bazie żywic EP i PUR</t>
  </si>
  <si>
    <t>Balusrady obustronne wg części rysunkowej</t>
  </si>
  <si>
    <t>Wytworzenie balustrady stalowej. Obmiar wg części rysunkowej.</t>
  </si>
  <si>
    <t>M 28.01.01</t>
  </si>
  <si>
    <t>BALUSTRADY STALOWE NA DOJŚCIACH DO KŁADKI</t>
  </si>
  <si>
    <t>Zakup i montaż bariery wygrodzeniowej typu U12a ZDM L-2200</t>
  </si>
  <si>
    <t>długość balustrady</t>
  </si>
  <si>
    <t>M 30.20.00</t>
  </si>
  <si>
    <t>ZABEZPIECZENIE ANTYKOROZYJNE POWIERZCHNI BETONU</t>
  </si>
  <si>
    <t>M 30.20.05</t>
  </si>
  <si>
    <t>Pokrycia powierzchni powłoką o grubości 0,05 - 0,3 mm</t>
  </si>
  <si>
    <t>Wykonanie powłok malarskich akrylowych, malowanie dwukrotne powierzchni betonowych pionowych</t>
  </si>
  <si>
    <t>Przygotowanie powierzchni betonu belki podporęczowej i gzymsu poprzez czyszczenie strumieniowo-ścierne</t>
  </si>
  <si>
    <t>Gruntowanie powierzchni betonu belki podporęczowej i gzymsu</t>
  </si>
  <si>
    <t>Wykonanie powłoki malarskiej zestawem farb do betonu (powierzchnia malowania to belka podporęczowa wraz z powierzchnią boczną gzymsów)</t>
  </si>
  <si>
    <t>Rozbiórka rusztu stalowego konstrukcji nośnej mostu. Dźwigary stalowe typu CE360 wraz z poprzecznicami. Obmiar wg rys. inwentaryzacji. Długość dźwigara ok. Lc=700m. Dźwigary z rozbiórki do wykożystania jako stężenie nowych dźwigarów. Demontaż konstrukcji z transportem do bazy Wykonawcy w celu wykonanania remontu części konstrukcji wykożystywanej do remontu obiektu. W pozycji uwzględnić demontaż balustrady stalowej na obiekcie i na skrzydłach.</t>
  </si>
  <si>
    <t>69</t>
  </si>
  <si>
    <t>Wg rysunku konstrukcyjnego: G=538*1,025 x 2 szt.</t>
  </si>
  <si>
    <t>Wg rysunku konstrukcyjnego: G=344*1,025 x 2 szt.</t>
  </si>
  <si>
    <t>16</t>
  </si>
  <si>
    <t>M 21.20.10</t>
  </si>
  <si>
    <t>Ławy fundamentowe w deskowaniu</t>
  </si>
  <si>
    <t>Usunięcie warstwy ziemi urodzajnej (humusu) na odległość do 30 m, grubość warstwy do 15 cm</t>
  </si>
  <si>
    <t>Wykonanie warstwy mrozoochronnej z piasku, mechanicznie, gr. w-wy do 20cm</t>
  </si>
  <si>
    <t>Wykonanie warstwy mrozoochronnej z pospółki lub piasku, w-wa gr. 20cm-obmiar wg tab. 2</t>
  </si>
  <si>
    <t>03</t>
  </si>
  <si>
    <t>D 04.03.00</t>
  </si>
  <si>
    <t>Oczyszczenie</t>
  </si>
  <si>
    <t>D 04.03.02</t>
  </si>
  <si>
    <t>Skropienie warstw konstrukcyjnych</t>
  </si>
  <si>
    <t>D 04.04.00</t>
  </si>
  <si>
    <t>PODBUDOWA Z KRUSZYW STABILIZOWANYCH MECHANICZNIE</t>
  </si>
  <si>
    <t>OCZYSZCZENIE I SKROPIENIE WARSTW KONSTRUKCYJNYCH</t>
  </si>
  <si>
    <t>D 04.04.02</t>
  </si>
  <si>
    <t>Podbudowa z kruszyw kamiennych</t>
  </si>
  <si>
    <t>02</t>
  </si>
  <si>
    <t>Wykonanie podbudowy z kruszywa łamanego - tłucznia kamiennego, warstwa dolna, grubość warstwy po zagęszczeniu 20 cm</t>
  </si>
  <si>
    <t>13, 46</t>
  </si>
  <si>
    <t>Wykonanie warstwy wiążącej (ochronnej) z mieszanki mineralno - asfaltowej AC 16 W, grubość warstwy po zagęszczeniu 4 cm</t>
  </si>
  <si>
    <t>23</t>
  </si>
  <si>
    <t>Wykonanie warstwy ścieralnej z mieszanki mineralno-asfaltowej AC 16 S, grubość warstwy po zagęszczeniu 4 cm</t>
  </si>
  <si>
    <t>Wykonanie podbudowy z mieszanki mineralno - asfaltowej AC 16 P , grubość warstwy po zagęszczeniu 5 cm</t>
  </si>
  <si>
    <t>Wykonanie nawierzchni z betonu asfaltowego o uziarnieniu 0/16 warstwa ścieralna gr. w-wy 4cm - na obiekcie i na dojazdach. Obmiar wg tab. 2</t>
  </si>
  <si>
    <t>Umocnienie powierzchniowe humusowaniem i obsianiem</t>
  </si>
  <si>
    <t>21</t>
  </si>
  <si>
    <t>Humusowanie z obsianiem skarp przy grubości humusu 10cm (bez dowozu ziemi urodzajnej - humus z odzysku)</t>
  </si>
  <si>
    <t>PRZYCZÓŁKI</t>
  </si>
  <si>
    <t>M 22.01.00</t>
  </si>
  <si>
    <t>Przyczółki żelbetowe</t>
  </si>
  <si>
    <t>Podpory masywne wys. do 4 m z betonu klasy C25/30 (B30)</t>
  </si>
  <si>
    <t>Ustrój nośny stalowy - "blachownica" do zespolenia z żelbetową płytą pomostu</t>
  </si>
  <si>
    <t>obwód IP 360</t>
  </si>
  <si>
    <t>obwód CE 360</t>
  </si>
  <si>
    <r>
      <t xml:space="preserve">Przygotowanie powierzchni konstrukcji stalowej do stopnia czystości PSa 2. Zabezpieczenie antykorozyjne dźwiarów przęsła stalowego wraz ze stężeniami poprzecznymi zestawem powłok malarskich mających aprobatę IBDiM:
- grunt wysokocynkowy o grubości suchej warstwy min. 80 </t>
    </r>
    <r>
      <rPr>
        <sz val="10"/>
        <rFont val="Symbol"/>
        <family val="1"/>
      </rPr>
      <t></t>
    </r>
    <r>
      <rPr>
        <sz val="10"/>
        <rFont val="Arial"/>
        <family val="2"/>
      </rPr>
      <t xml:space="preserve">m,
- międzywarstwa epoksydowo – poliuretanowa o gr. suchej warstwy min. 2 x 75 </t>
    </r>
    <r>
      <rPr>
        <sz val="10"/>
        <rFont val="Symbol"/>
        <family val="1"/>
      </rPr>
      <t></t>
    </r>
    <r>
      <rPr>
        <sz val="10"/>
        <rFont val="Arial"/>
        <family val="2"/>
      </rPr>
      <t xml:space="preserve">m,
- warstwa nawierzchniowa poliuretanowa o gr. suchej warstwy min. 180-200 </t>
    </r>
    <r>
      <rPr>
        <sz val="10"/>
        <rFont val="Symbol"/>
        <family val="1"/>
      </rPr>
      <t></t>
    </r>
    <r>
      <rPr>
        <sz val="10"/>
        <rFont val="Arial"/>
        <family val="2"/>
      </rPr>
      <t>m.  Końce dźwigarów stykające się z żelbetową poprzecznicą oraz górną powierzchnię półki dźwigara nie malować.</t>
    </r>
  </si>
  <si>
    <t>Żelbetowa płyta pomostu zespolona z konstrukcją stalową ustroju nośnego</t>
  </si>
  <si>
    <t>Przygotowanie i montaż zbrojenia płyty zespolonej</t>
  </si>
  <si>
    <t>M 25.01.03</t>
  </si>
  <si>
    <t>Bitumiczne przykrycie dylatacyjne</t>
  </si>
  <si>
    <t>Wypełnienie szczelin dylatacyjnych pionowych masą zalewową, szerokość szczeliny 2 cm.</t>
  </si>
  <si>
    <t>DRENY DO ODWODNIENIA IZOLACJI</t>
  </si>
  <si>
    <t>Wykonanie drenażu poziomego z geowłókniny i grysu lakierowanego</t>
  </si>
  <si>
    <t>Izolacje dwuwarstwowe przeciwwilgociowe powłokowe bitumiczne wykonywane na zimno. Powłoki pionowe z roztworu asfaltowego.</t>
  </si>
  <si>
    <t>Powierzchnia tylna i boczna korpusu przyczółka, powierzchnie boczne ławy fundamentowej wraz z powierzchnią poziomą odsadzki. Obmiar wg części rysunku zbrojenia przyczółka.</t>
  </si>
  <si>
    <t>boki przyczółka</t>
  </si>
  <si>
    <t>Papa na płycie pomostu oraz na górnej części korpusu przyczółka (jako przekładka). Powierzchnia netto (bez zakładów). W cenie ostatecznej ująć powierzchnię na zakłady izolacji. Obmiar wg części rysunkowej płyty i przyczółka.</t>
  </si>
  <si>
    <t>korpus przyczółka</t>
  </si>
  <si>
    <t>M 27.02.00</t>
  </si>
  <si>
    <t>Izolacja z papy zgrzewalnej układane na powierzchniach betonowych</t>
  </si>
  <si>
    <t>Izolacje przeciwwilgociowe poziome z papy asfaltowej na lepiku asfaltowym na gorąco.</t>
  </si>
  <si>
    <t>ciężar balustrady</t>
  </si>
  <si>
    <t>Pochwyt</t>
  </si>
  <si>
    <t>Słupek</t>
  </si>
  <si>
    <t>Przeciąg</t>
  </si>
  <si>
    <t>Szczeblinka</t>
  </si>
  <si>
    <t>Suma</t>
  </si>
  <si>
    <t>Balustrada stalowa "szczeblinkowa" o rozstawie słupków 1m. Wg rysunku konstrukcyjnego balustrady</t>
  </si>
  <si>
    <t>92</t>
  </si>
  <si>
    <t>ilość kotew</t>
  </si>
  <si>
    <t>Wykonanie marek kotwiących balustradę na długości belki podporęczowej (gzymsu)</t>
  </si>
  <si>
    <t>Wykonanie marek kotwiących balustradę na gzymsie. Obmiar wg rys. balustrad</t>
  </si>
  <si>
    <t>Zakup i montaż stalowej bariery wygrodzeniowej typu U12a ZDM L-2200 wraz z wykonaniem fundamentów dla oadzenia słupków balustrady. Balustrady zabezpieczone antykorozyjne przez malowanie</t>
  </si>
  <si>
    <t>Wykonanie odwodnienia zasypki przyczółka rurą perforowaną fi 125 mm (2/3 drenażowe, 1/3 pełna). Rura w drenie z kruszywa 8/16 w osłonie z geowłókniny. Rurę drenarską wykonać za przyczółkiem do 75 cm poniżej niwelety drogi z wylotem na kosze.</t>
  </si>
  <si>
    <t>szerokosć zasypki</t>
  </si>
  <si>
    <t>3-5 rząd</t>
  </si>
  <si>
    <t>Wykonanie koszy siatkowo - kamiennych o wymiarach 100x50. Kosze stanowią umocnienie skarpy rzeki powyżej  pierwszego rzędu koszy.</t>
  </si>
  <si>
    <t>Wykonanie koszy siatkowo - kamiennych o wymiarach 100x100. Kosze stanowiące podstawę umocnień brzegów rzeki.</t>
  </si>
  <si>
    <t>Wykonanie koszy siatkowo - kamiennych 100x100 cm</t>
  </si>
  <si>
    <t>gzyms</t>
  </si>
  <si>
    <t>Koryta wykonywane mechanicznie wraz z profilowaniem i zagęszczaniem podłoża w gruntach kat. I-VI, głębokość koryta 49cm</t>
  </si>
  <si>
    <t>Ławy fundamentowe z betonu konstrukcyjnego w deskowaniu - klasa betonu C25/30 (B-30)</t>
  </si>
  <si>
    <t>Wykonanie nawierzchni z betonu asfaltowego o uziarnieniu 0/16 warstwa ochronna na moście, gr. w-wy 4cm. Obmiar wg tab. 2</t>
  </si>
  <si>
    <t>Wg rysunku konstrukcyjnego: V=(1,1*1,4*5,03)*1,025 x 2 szt.</t>
  </si>
  <si>
    <t>Wg rysunku konstrukcyjnego: G=(1,3*0,8*4,46)*1,025 x 2 szt.</t>
  </si>
  <si>
    <t>PODATEK VAT</t>
  </si>
  <si>
    <t>KOSZTORYS OFERTOWY</t>
  </si>
  <si>
    <t>Upełnomocniony Przedstawiciel Firmy:</t>
  </si>
  <si>
    <t xml:space="preserve">         .....................................</t>
  </si>
  <si>
    <t>Data opracowania  ..... - ...... - .......</t>
  </si>
  <si>
    <t>zł (brutto …….% VAT)</t>
  </si>
  <si>
    <t>VAT ….. %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</si>
</sst>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#\.#\."/>
    <numFmt numFmtId="183" formatCode="0.0000000000"/>
    <numFmt numFmtId="184" formatCode="0.00000000000"/>
    <numFmt numFmtId="185" formatCode="#,##0.000"/>
    <numFmt numFmtId="186" formatCode="#,##0.0"/>
    <numFmt numFmtId="187" formatCode="0.0%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0"/>
      <name val="Arial Narrow"/>
      <family val="2"/>
    </font>
    <font>
      <sz val="10"/>
      <name val="Symbol"/>
      <family val="1"/>
    </font>
    <font>
      <b/>
      <vertAlign val="superscript"/>
      <sz val="8"/>
      <name val="Arial"/>
      <family val="2"/>
    </font>
    <font>
      <sz val="12"/>
      <name val="Arial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" fontId="4" fillId="0" borderId="0" xfId="0" applyNumberFormat="1" applyFont="1" applyFill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Fill="1" applyAlignment="1" applyProtection="1">
      <alignment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wrapText="1"/>
      <protection locked="0"/>
    </xf>
    <xf numFmtId="4" fontId="1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right" wrapText="1"/>
      <protection locked="0"/>
    </xf>
    <xf numFmtId="2" fontId="4" fillId="0" borderId="0" xfId="0" applyNumberFormat="1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 wrapText="1"/>
      <protection locked="0"/>
    </xf>
    <xf numFmtId="4" fontId="4" fillId="0" borderId="0" xfId="0" applyNumberFormat="1" applyFont="1" applyFill="1" applyAlignment="1" applyProtection="1">
      <alignment horizontal="right" wrapText="1"/>
      <protection locked="0"/>
    </xf>
    <xf numFmtId="4" fontId="19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wrapText="1"/>
      <protection locked="0"/>
    </xf>
    <xf numFmtId="0" fontId="9" fillId="36" borderId="13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9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applyProtection="1">
      <alignment/>
      <protection locked="0"/>
    </xf>
    <xf numFmtId="4" fontId="9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9" fontId="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21" fillId="37" borderId="27" xfId="0" applyNumberFormat="1" applyFont="1" applyFill="1" applyBorder="1" applyAlignment="1">
      <alignment horizontal="center" vertical="center" wrapText="1"/>
    </xf>
    <xf numFmtId="4" fontId="21" fillId="37" borderId="26" xfId="0" applyNumberFormat="1" applyFont="1" applyFill="1" applyBorder="1" applyAlignment="1">
      <alignment horizontal="center" vertical="center" wrapText="1"/>
    </xf>
    <xf numFmtId="4" fontId="21" fillId="37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9" fillId="36" borderId="26" xfId="0" applyFont="1" applyFill="1" applyBorder="1" applyAlignment="1" applyProtection="1">
      <alignment horizontal="center" vertical="center" wrapText="1"/>
      <protection locked="0"/>
    </xf>
    <xf numFmtId="0" fontId="9" fillId="36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7" fillId="38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applyProtection="1">
      <alignment horizontal="right" vertical="center" wrapText="1"/>
      <protection locked="0"/>
    </xf>
    <xf numFmtId="0" fontId="9" fillId="33" borderId="13" xfId="0" applyFont="1" applyFill="1" applyBorder="1" applyAlignment="1" applyProtection="1">
      <alignment horizontal="right" vertical="center" wrapText="1"/>
      <protection locked="0"/>
    </xf>
    <xf numFmtId="0" fontId="9" fillId="33" borderId="26" xfId="0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sztorys%20K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ŁADKA_P"/>
      <sheetName val="TABELE"/>
      <sheetName val="PRZEDMIAR"/>
      <sheetName val="OKŁADKA_O"/>
      <sheetName val="ZESTAWIENIE"/>
      <sheetName val="OFERTOWY"/>
    </sheetNames>
    <sheetDataSet>
      <sheetData sheetId="2">
        <row r="2">
          <cell r="A2" t="str">
            <v>Remont mostu łączącego drogi na działkach ewidencyjnych nr 729/1 oraz 2708 w Posadzie Jaśliskiej. Kilometraż obiektu: 0+053</v>
          </cell>
        </row>
      </sheetData>
      <sheetData sheetId="3">
        <row r="9">
          <cell r="A9" t="str">
            <v>KOSZTORYS OFERTOWY</v>
          </cell>
        </row>
        <row r="13">
          <cell r="A13" t="str">
            <v>Remont mostu łączącego drogi na działkach ewidencyjnych nr 729/1 oraz 2708 w Posadzie Jaśliskiej. Kilometraż obiektu: 0+053</v>
          </cell>
        </row>
      </sheetData>
      <sheetData sheetId="5">
        <row r="7">
          <cell r="A7" t="str">
            <v>1.</v>
          </cell>
          <cell r="B7" t="str">
            <v>ROBOTY DROGOWE</v>
          </cell>
        </row>
        <row r="8">
          <cell r="A8" t="str">
            <v>1.1</v>
          </cell>
          <cell r="D8" t="str">
            <v>ROBOTY PRZYGOTOWAWCZE</v>
          </cell>
        </row>
        <row r="19">
          <cell r="A19" t="str">
            <v>1.2</v>
          </cell>
          <cell r="D19" t="str">
            <v>ROBOTY ZIEMNE</v>
          </cell>
        </row>
        <row r="24">
          <cell r="A24" t="str">
            <v>1.3</v>
          </cell>
          <cell r="D24" t="str">
            <v>PODBUDOWY</v>
          </cell>
        </row>
        <row r="37">
          <cell r="A37" t="str">
            <v>1.4</v>
          </cell>
          <cell r="D37" t="str">
            <v>NAWIERZCHNIE</v>
          </cell>
        </row>
        <row r="43">
          <cell r="A43" t="str">
            <v>1.5</v>
          </cell>
          <cell r="D43" t="str">
            <v>ROBOTY WYKOŃCZENIOWE</v>
          </cell>
        </row>
        <row r="48">
          <cell r="A48" t="str">
            <v>2.</v>
          </cell>
          <cell r="B48" t="str">
            <v>ROBOTY MOSTOWE</v>
          </cell>
        </row>
        <row r="50">
          <cell r="A50" t="str">
            <v>2.1</v>
          </cell>
          <cell r="D50" t="str">
            <v>ŁAWY FUNDAMENTOWE</v>
          </cell>
        </row>
        <row r="56">
          <cell r="A56" t="str">
            <v>2.2</v>
          </cell>
          <cell r="D56" t="str">
            <v>PRZYCZÓŁKI</v>
          </cell>
        </row>
        <row r="61">
          <cell r="A61" t="str">
            <v>2.3</v>
          </cell>
          <cell r="D61" t="str">
            <v>USTROJE NOŚNE</v>
          </cell>
        </row>
        <row r="69">
          <cell r="A69" t="str">
            <v>2.4</v>
          </cell>
          <cell r="D69" t="str">
            <v>PŁYTY POMOSTU ZESPOLONE Z KONSTRUKCJĄ STALOWĄ</v>
          </cell>
        </row>
        <row r="74">
          <cell r="A74" t="str">
            <v>2.5</v>
          </cell>
          <cell r="D74" t="str">
            <v>URZĄDZENIA DYLATACYJNE</v>
          </cell>
        </row>
        <row r="78">
          <cell r="A78" t="str">
            <v>2.6</v>
          </cell>
          <cell r="D78" t="str">
            <v>ODWODNIENIE</v>
          </cell>
        </row>
        <row r="84">
          <cell r="A84" t="str">
            <v>2.7</v>
          </cell>
          <cell r="D84" t="str">
            <v>HYDROIZOLACJA</v>
          </cell>
        </row>
        <row r="92">
          <cell r="A92" t="str">
            <v>2.8</v>
          </cell>
          <cell r="D92" t="str">
            <v>WYPOSAŻENIE</v>
          </cell>
        </row>
        <row r="101">
          <cell r="A101" t="str">
            <v>2.9</v>
          </cell>
          <cell r="D101" t="str">
            <v>ROBOTY PRZYOBIEKTOWE</v>
          </cell>
        </row>
        <row r="107">
          <cell r="A107" t="str">
            <v>2.10</v>
          </cell>
          <cell r="D107" t="str">
            <v>ROBOTY REGULACYJNE</v>
          </cell>
        </row>
        <row r="113">
          <cell r="A113" t="str">
            <v>2.11</v>
          </cell>
          <cell r="D113" t="str">
            <v>ROBOTY NAWIERZCHNIOWE I ZABEZPIECZAJĄCE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47"/>
  <sheetViews>
    <sheetView view="pageBreakPreview" zoomScale="115" zoomScaleSheetLayoutView="115" zoomScalePageLayoutView="0" workbookViewId="0" topLeftCell="A1">
      <selection activeCell="F22" sqref="F22"/>
    </sheetView>
  </sheetViews>
  <sheetFormatPr defaultColWidth="9.00390625" defaultRowHeight="12.75"/>
  <cols>
    <col min="1" max="2" width="9.125" style="1" customWidth="1"/>
    <col min="3" max="3" width="13.25390625" style="1" bestFit="1" customWidth="1"/>
    <col min="4" max="16384" width="9.125" style="1" customWidth="1"/>
  </cols>
  <sheetData>
    <row r="1" spans="1:2" ht="12.75">
      <c r="A1" s="153" t="s">
        <v>231</v>
      </c>
      <c r="B1" s="153"/>
    </row>
    <row r="2" spans="1:2" ht="12.75">
      <c r="A2" s="153" t="s">
        <v>233</v>
      </c>
      <c r="B2" s="153"/>
    </row>
    <row r="3" spans="1:2" ht="12.75">
      <c r="A3" s="153" t="s">
        <v>232</v>
      </c>
      <c r="B3" s="153"/>
    </row>
    <row r="4" spans="1:2" ht="12.75">
      <c r="A4" s="153" t="s">
        <v>235</v>
      </c>
      <c r="B4" s="153"/>
    </row>
    <row r="5" spans="1:2" ht="12.75">
      <c r="A5" s="154" t="s">
        <v>234</v>
      </c>
      <c r="B5" s="154"/>
    </row>
    <row r="8" ht="8.25" customHeight="1"/>
    <row r="9" spans="1:9" ht="33" customHeight="1">
      <c r="A9" s="152" t="s">
        <v>128</v>
      </c>
      <c r="B9" s="152"/>
      <c r="C9" s="152"/>
      <c r="D9" s="152"/>
      <c r="E9" s="152"/>
      <c r="F9" s="152"/>
      <c r="G9" s="152"/>
      <c r="H9" s="152"/>
      <c r="I9" s="152"/>
    </row>
    <row r="12" spans="1:9" ht="62.25" customHeight="1">
      <c r="A12" s="151" t="s">
        <v>266</v>
      </c>
      <c r="B12" s="151"/>
      <c r="C12" s="151"/>
      <c r="D12" s="151"/>
      <c r="E12" s="151"/>
      <c r="F12" s="151"/>
      <c r="G12" s="151"/>
      <c r="H12" s="151"/>
      <c r="I12" s="151"/>
    </row>
    <row r="32" ht="12.75">
      <c r="G32" s="2"/>
    </row>
    <row r="34" ht="12.75">
      <c r="A34" s="4" t="s">
        <v>9</v>
      </c>
    </row>
    <row r="35" ht="12.75">
      <c r="F35" s="4"/>
    </row>
    <row r="39" spans="1:3" ht="12.75">
      <c r="A39" s="153" t="s">
        <v>191</v>
      </c>
      <c r="B39" s="153"/>
      <c r="C39" s="153"/>
    </row>
    <row r="40" spans="1:3" ht="12.75">
      <c r="A40" s="154" t="s">
        <v>10</v>
      </c>
      <c r="B40" s="154"/>
      <c r="C40" s="154"/>
    </row>
    <row r="47" ht="12.75">
      <c r="D47" s="1" t="s">
        <v>267</v>
      </c>
    </row>
  </sheetData>
  <sheetProtection/>
  <mergeCells count="9">
    <mergeCell ref="A12:I12"/>
    <mergeCell ref="A9:I9"/>
    <mergeCell ref="A39:C39"/>
    <mergeCell ref="A40:C40"/>
    <mergeCell ref="A1:B1"/>
    <mergeCell ref="A2:B2"/>
    <mergeCell ref="A3:B3"/>
    <mergeCell ref="A4:B4"/>
    <mergeCell ref="A5:B5"/>
  </mergeCells>
  <printOptions/>
  <pageMargins left="0.75" right="0.61" top="1" bottom="1" header="0.5" footer="0.5"/>
  <pageSetup horizontalDpi="600" verticalDpi="600" orientation="portrait" paperSize="9" r:id="rId1"/>
  <headerFooter alignWithMargins="0">
    <oddFooter>&amp;RStrona&amp;P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67"/>
  <sheetViews>
    <sheetView view="pageBreakPreview" zoomScale="130" zoomScaleNormal="160" zoomScaleSheetLayoutView="130" workbookViewId="0" topLeftCell="A1">
      <selection activeCell="D67" sqref="D67"/>
    </sheetView>
  </sheetViews>
  <sheetFormatPr defaultColWidth="12.625" defaultRowHeight="12.75"/>
  <cols>
    <col min="1" max="1" width="9.25390625" style="66" customWidth="1"/>
    <col min="2" max="2" width="16.375" style="66" customWidth="1"/>
    <col min="3" max="3" width="14.375" style="66" customWidth="1"/>
    <col min="4" max="5" width="17.125" style="66" customWidth="1"/>
    <col min="6" max="6" width="13.25390625" style="66" customWidth="1"/>
    <col min="7" max="7" width="15.125" style="66" customWidth="1"/>
    <col min="8" max="8" width="17.75390625" style="66" customWidth="1"/>
    <col min="9" max="16384" width="12.625" style="66" customWidth="1"/>
  </cols>
  <sheetData>
    <row r="1" spans="1:250" s="42" customFormat="1" ht="12.75">
      <c r="A1" s="155" t="s">
        <v>268</v>
      </c>
      <c r="B1" s="155"/>
      <c r="C1" s="155"/>
      <c r="D1" s="155"/>
      <c r="E1" s="155"/>
      <c r="F1" s="155"/>
      <c r="G1" s="155"/>
      <c r="H1" s="155"/>
      <c r="IM1" s="66"/>
      <c r="IN1" s="66"/>
      <c r="IO1" s="66"/>
      <c r="IP1" s="66"/>
    </row>
    <row r="2" spans="1:250" s="42" customFormat="1" ht="25.5">
      <c r="A2" s="43" t="s">
        <v>96</v>
      </c>
      <c r="B2" s="163" t="str">
        <f>OKŁADKA_P!A12</f>
        <v>Remont mostu łączącego drogi na działkach ewidencyjnych nr 729/1 oraz 2708 w Posadzie Jaśliskiej. Kilometraż obiektu: 0+053</v>
      </c>
      <c r="C2" s="163"/>
      <c r="D2" s="163"/>
      <c r="E2" s="163"/>
      <c r="F2" s="163"/>
      <c r="G2" s="163"/>
      <c r="H2" s="163"/>
      <c r="IM2" s="66"/>
      <c r="IN2" s="66"/>
      <c r="IO2" s="66"/>
      <c r="IP2" s="66"/>
    </row>
    <row r="3" spans="1:250" s="42" customFormat="1" ht="12.75">
      <c r="A3" s="58"/>
      <c r="D3" s="45"/>
      <c r="E3" s="45"/>
      <c r="IM3" s="66"/>
      <c r="IN3" s="66"/>
      <c r="IO3" s="66"/>
      <c r="IP3" s="66"/>
    </row>
    <row r="4" spans="1:250" s="50" customFormat="1" ht="38.25">
      <c r="A4" s="156" t="s">
        <v>100</v>
      </c>
      <c r="B4" s="161" t="s">
        <v>101</v>
      </c>
      <c r="C4" s="47" t="s">
        <v>102</v>
      </c>
      <c r="D4" s="48" t="s">
        <v>103</v>
      </c>
      <c r="E4" s="48" t="s">
        <v>104</v>
      </c>
      <c r="F4" s="49" t="s">
        <v>106</v>
      </c>
      <c r="G4" s="72" t="s">
        <v>26</v>
      </c>
      <c r="H4" s="72" t="s">
        <v>105</v>
      </c>
      <c r="IM4" s="66"/>
      <c r="IN4" s="66"/>
      <c r="IO4" s="66"/>
      <c r="IP4" s="66"/>
    </row>
    <row r="5" spans="1:250" s="50" customFormat="1" ht="14.25">
      <c r="A5" s="157"/>
      <c r="B5" s="162"/>
      <c r="C5" s="41" t="s">
        <v>97</v>
      </c>
      <c r="D5" s="41" t="s">
        <v>97</v>
      </c>
      <c r="E5" s="41" t="s">
        <v>97</v>
      </c>
      <c r="F5" s="41" t="s">
        <v>90</v>
      </c>
      <c r="G5" s="41" t="s">
        <v>63</v>
      </c>
      <c r="H5" s="41" t="s">
        <v>90</v>
      </c>
      <c r="IM5" s="66"/>
      <c r="IN5" s="66"/>
      <c r="IO5" s="66"/>
      <c r="IP5" s="66"/>
    </row>
    <row r="6" spans="1:250" s="42" customFormat="1" ht="12.7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M6" s="66"/>
      <c r="IN6" s="66"/>
      <c r="IO6" s="66"/>
      <c r="IP6" s="66"/>
    </row>
    <row r="7" spans="1:250" s="42" customFormat="1" ht="12.75">
      <c r="A7" s="57">
        <v>1</v>
      </c>
      <c r="B7" s="73" t="s">
        <v>161</v>
      </c>
      <c r="C7" s="46">
        <v>7</v>
      </c>
      <c r="D7" s="46">
        <v>3.2</v>
      </c>
      <c r="E7" s="46">
        <v>0.15</v>
      </c>
      <c r="F7" s="46">
        <f>C7*D7*E7</f>
        <v>3.3600000000000003</v>
      </c>
      <c r="G7" s="74">
        <v>1</v>
      </c>
      <c r="H7" s="46">
        <f>F7*G7</f>
        <v>3.3600000000000003</v>
      </c>
      <c r="IM7" s="66"/>
      <c r="IN7" s="66"/>
      <c r="IO7" s="66"/>
      <c r="IP7" s="66"/>
    </row>
    <row r="8" spans="1:250" s="42" customFormat="1" ht="25.5">
      <c r="A8" s="57">
        <v>2</v>
      </c>
      <c r="B8" s="73" t="s">
        <v>269</v>
      </c>
      <c r="C8" s="46">
        <v>3.9</v>
      </c>
      <c r="D8" s="46">
        <v>0.4</v>
      </c>
      <c r="E8" s="46">
        <v>0.36</v>
      </c>
      <c r="F8" s="46">
        <f>C8*D8*E8</f>
        <v>0.5616</v>
      </c>
      <c r="G8" s="74">
        <v>2</v>
      </c>
      <c r="H8" s="46">
        <f>F8*G8</f>
        <v>1.1232</v>
      </c>
      <c r="IM8" s="66"/>
      <c r="IN8" s="66"/>
      <c r="IO8" s="66"/>
      <c r="IP8" s="66"/>
    </row>
    <row r="9" spans="1:250" s="42" customFormat="1" ht="25.5">
      <c r="A9" s="57">
        <v>3</v>
      </c>
      <c r="B9" s="73" t="s">
        <v>270</v>
      </c>
      <c r="C9" s="46">
        <f>4.1</f>
        <v>4.1</v>
      </c>
      <c r="D9" s="46">
        <f>(0.4+0.6)/2</f>
        <v>0.5</v>
      </c>
      <c r="E9" s="46">
        <v>1.62</v>
      </c>
      <c r="F9" s="46">
        <f>C9*D9*E9</f>
        <v>3.3209999999999997</v>
      </c>
      <c r="G9" s="74">
        <v>2</v>
      </c>
      <c r="H9" s="46">
        <f>F9*G9</f>
        <v>6.6419999999999995</v>
      </c>
      <c r="IM9" s="66"/>
      <c r="IN9" s="66"/>
      <c r="IO9" s="66"/>
      <c r="IP9" s="66"/>
    </row>
    <row r="10" spans="1:250" s="42" customFormat="1" ht="12.75">
      <c r="A10" s="57">
        <v>4</v>
      </c>
      <c r="B10" s="73" t="s">
        <v>271</v>
      </c>
      <c r="C10" s="46">
        <v>2</v>
      </c>
      <c r="D10" s="46">
        <v>0.3</v>
      </c>
      <c r="E10" s="46">
        <v>1.1</v>
      </c>
      <c r="F10" s="46">
        <f>C10*D10*E10</f>
        <v>0.66</v>
      </c>
      <c r="G10" s="74">
        <v>4</v>
      </c>
      <c r="H10" s="46">
        <f>F10*G10</f>
        <v>2.64</v>
      </c>
      <c r="IM10" s="66"/>
      <c r="IN10" s="66"/>
      <c r="IO10" s="66"/>
      <c r="IP10" s="66"/>
    </row>
    <row r="11" spans="1:250" s="42" customFormat="1" ht="38.25">
      <c r="A11" s="57">
        <v>5</v>
      </c>
      <c r="B11" s="73" t="s">
        <v>272</v>
      </c>
      <c r="C11" s="46">
        <v>2</v>
      </c>
      <c r="D11" s="46">
        <v>0.6</v>
      </c>
      <c r="E11" s="46">
        <v>1</v>
      </c>
      <c r="F11" s="46">
        <f>C11*D11*E11</f>
        <v>1.2</v>
      </c>
      <c r="G11" s="74">
        <v>4</v>
      </c>
      <c r="H11" s="46">
        <f>F11*G11</f>
        <v>4.8</v>
      </c>
      <c r="IM11" s="66"/>
      <c r="IN11" s="66"/>
      <c r="IO11" s="66"/>
      <c r="IP11" s="66"/>
    </row>
    <row r="12" spans="1:250" s="42" customFormat="1" ht="12.75">
      <c r="A12" s="158" t="s">
        <v>98</v>
      </c>
      <c r="B12" s="159"/>
      <c r="C12" s="159"/>
      <c r="D12" s="159"/>
      <c r="E12" s="159"/>
      <c r="F12" s="159"/>
      <c r="G12" s="160"/>
      <c r="H12" s="75">
        <f>SUM(H7:H11)</f>
        <v>18.5652</v>
      </c>
      <c r="IM12" s="66"/>
      <c r="IN12" s="66"/>
      <c r="IO12" s="66"/>
      <c r="IP12" s="66"/>
    </row>
    <row r="13" spans="1:250" s="42" customFormat="1" ht="12.75">
      <c r="A13" s="158" t="s">
        <v>162</v>
      </c>
      <c r="B13" s="159"/>
      <c r="C13" s="159"/>
      <c r="D13" s="159"/>
      <c r="E13" s="159"/>
      <c r="F13" s="159"/>
      <c r="G13" s="160"/>
      <c r="H13" s="75">
        <f>ROUND(H12*1.15,1)</f>
        <v>21.3</v>
      </c>
      <c r="IM13" s="66"/>
      <c r="IN13" s="66"/>
      <c r="IO13" s="66"/>
      <c r="IP13" s="66"/>
    </row>
    <row r="14" spans="1:250" s="42" customFormat="1" ht="12.75">
      <c r="A14" s="158" t="s">
        <v>107</v>
      </c>
      <c r="B14" s="159"/>
      <c r="C14" s="159"/>
      <c r="D14" s="159"/>
      <c r="E14" s="159"/>
      <c r="F14" s="159"/>
      <c r="G14" s="160"/>
      <c r="H14" s="75">
        <f>H13</f>
        <v>21.3</v>
      </c>
      <c r="IM14" s="66"/>
      <c r="IN14" s="66"/>
      <c r="IO14" s="66"/>
      <c r="IP14" s="66"/>
    </row>
    <row r="15" spans="1:250" s="42" customFormat="1" ht="12.75">
      <c r="A15" s="58"/>
      <c r="D15" s="45"/>
      <c r="E15" s="45"/>
      <c r="IM15" s="66"/>
      <c r="IN15" s="66"/>
      <c r="IO15" s="66"/>
      <c r="IP15" s="66"/>
    </row>
    <row r="16" spans="1:250" s="42" customFormat="1" ht="12.75">
      <c r="A16" s="58"/>
      <c r="D16" s="45"/>
      <c r="E16" s="45"/>
      <c r="IM16" s="66"/>
      <c r="IN16" s="66"/>
      <c r="IO16" s="66"/>
      <c r="IP16" s="66"/>
    </row>
    <row r="17" spans="1:250" s="42" customFormat="1" ht="12.75">
      <c r="A17" s="155" t="s">
        <v>275</v>
      </c>
      <c r="B17" s="155"/>
      <c r="C17" s="155"/>
      <c r="D17" s="155"/>
      <c r="E17" s="155"/>
      <c r="F17" s="155"/>
      <c r="G17" s="155"/>
      <c r="H17" s="155"/>
      <c r="IM17" s="66"/>
      <c r="IN17" s="66"/>
      <c r="IO17" s="66"/>
      <c r="IP17" s="66"/>
    </row>
    <row r="18" spans="1:8" ht="25.5">
      <c r="A18" s="43" t="s">
        <v>96</v>
      </c>
      <c r="B18" s="163" t="str">
        <f>B2</f>
        <v>Remont mostu łączącego drogi na działkach ewidencyjnych nr 729/1 oraz 2708 w Posadzie Jaśliskiej. Kilometraż obiektu: 0+053</v>
      </c>
      <c r="C18" s="163"/>
      <c r="D18" s="163"/>
      <c r="E18" s="163"/>
      <c r="F18" s="163"/>
      <c r="G18" s="163"/>
      <c r="H18" s="163"/>
    </row>
    <row r="19" spans="1:8" ht="12.75">
      <c r="A19" s="58"/>
      <c r="B19" s="42"/>
      <c r="C19" s="42"/>
      <c r="D19" s="45"/>
      <c r="E19" s="45"/>
      <c r="F19" s="42"/>
      <c r="G19" s="42"/>
      <c r="H19" s="42"/>
    </row>
    <row r="20" spans="1:9" ht="12.75">
      <c r="A20" s="101" t="s">
        <v>198</v>
      </c>
      <c r="F20" s="76"/>
      <c r="G20" s="76"/>
      <c r="H20" s="76"/>
      <c r="I20" s="76"/>
    </row>
    <row r="21" spans="4:9" ht="12.75">
      <c r="D21" s="57" t="s">
        <v>273</v>
      </c>
      <c r="E21" s="57" t="s">
        <v>197</v>
      </c>
      <c r="F21" s="57" t="s">
        <v>220</v>
      </c>
      <c r="G21" s="68" t="s">
        <v>171</v>
      </c>
      <c r="H21" s="76"/>
      <c r="I21" s="76"/>
    </row>
    <row r="22" spans="1:7" ht="12.75">
      <c r="A22" s="171" t="s">
        <v>153</v>
      </c>
      <c r="B22" s="171"/>
      <c r="C22" s="171"/>
      <c r="D22" s="48">
        <f>D26</f>
        <v>22.8</v>
      </c>
      <c r="E22" s="57">
        <f>E26</f>
        <v>19.2</v>
      </c>
      <c r="F22" s="57"/>
      <c r="G22" s="68">
        <f>SUM(D22:F22)</f>
        <v>42</v>
      </c>
    </row>
    <row r="23" spans="1:7" ht="12.75">
      <c r="A23" s="171" t="s">
        <v>199</v>
      </c>
      <c r="B23" s="171"/>
      <c r="C23" s="171"/>
      <c r="D23" s="48">
        <f>D27</f>
        <v>21.5</v>
      </c>
      <c r="E23" s="48">
        <f>E27</f>
        <v>18</v>
      </c>
      <c r="F23" s="57"/>
      <c r="G23" s="68">
        <f aca="true" t="shared" si="0" ref="G23:G29">SUM(D23:F23)</f>
        <v>39.5</v>
      </c>
    </row>
    <row r="24" spans="1:7" ht="12.75">
      <c r="A24" s="171" t="s">
        <v>192</v>
      </c>
      <c r="B24" s="171"/>
      <c r="C24" s="171"/>
      <c r="D24" s="48">
        <f>D25</f>
        <v>26.7</v>
      </c>
      <c r="E24" s="57">
        <f>E25</f>
        <v>23.1</v>
      </c>
      <c r="F24" s="57"/>
      <c r="G24" s="68">
        <f t="shared" si="0"/>
        <v>49.8</v>
      </c>
    </row>
    <row r="25" spans="1:7" ht="12.75">
      <c r="A25" s="171" t="s">
        <v>193</v>
      </c>
      <c r="B25" s="171"/>
      <c r="C25" s="171"/>
      <c r="D25" s="48">
        <v>26.7</v>
      </c>
      <c r="E25" s="57">
        <v>23.1</v>
      </c>
      <c r="F25" s="57"/>
      <c r="G25" s="68">
        <f>SUM(D25:F25)</f>
        <v>49.8</v>
      </c>
    </row>
    <row r="26" spans="1:7" ht="12.75">
      <c r="A26" s="171" t="s">
        <v>194</v>
      </c>
      <c r="B26" s="171"/>
      <c r="C26" s="171"/>
      <c r="D26" s="48">
        <v>22.8</v>
      </c>
      <c r="E26" s="57">
        <v>19.2</v>
      </c>
      <c r="F26" s="57"/>
      <c r="G26" s="68">
        <f t="shared" si="0"/>
        <v>42</v>
      </c>
    </row>
    <row r="27" spans="1:7" ht="12.75">
      <c r="A27" s="171" t="s">
        <v>195</v>
      </c>
      <c r="B27" s="171"/>
      <c r="C27" s="171"/>
      <c r="D27" s="48">
        <v>21.5</v>
      </c>
      <c r="E27" s="57">
        <v>18</v>
      </c>
      <c r="F27" s="57"/>
      <c r="G27" s="68">
        <f t="shared" si="0"/>
        <v>39.5</v>
      </c>
    </row>
    <row r="28" spans="1:7" ht="12.75">
      <c r="A28" s="172" t="s">
        <v>221</v>
      </c>
      <c r="B28" s="173"/>
      <c r="C28" s="174"/>
      <c r="D28" s="48"/>
      <c r="E28" s="57"/>
      <c r="F28" s="57">
        <v>27.3</v>
      </c>
      <c r="G28" s="68">
        <f t="shared" si="0"/>
        <v>27.3</v>
      </c>
    </row>
    <row r="29" spans="1:9" s="77" customFormat="1" ht="12.75">
      <c r="A29" s="172" t="s">
        <v>196</v>
      </c>
      <c r="B29" s="173"/>
      <c r="C29" s="174"/>
      <c r="D29" s="48">
        <v>20.6</v>
      </c>
      <c r="E29" s="48">
        <v>17.2</v>
      </c>
      <c r="F29" s="57">
        <v>27.3</v>
      </c>
      <c r="G29" s="68">
        <f t="shared" si="0"/>
        <v>65.1</v>
      </c>
      <c r="H29" s="66"/>
      <c r="I29" s="66"/>
    </row>
    <row r="33" spans="1:9" ht="12.75">
      <c r="A33" s="155" t="s">
        <v>274</v>
      </c>
      <c r="B33" s="155"/>
      <c r="C33" s="155"/>
      <c r="D33" s="155"/>
      <c r="E33" s="155"/>
      <c r="F33" s="155"/>
      <c r="G33" s="155"/>
      <c r="H33" s="155"/>
      <c r="I33" s="42"/>
    </row>
    <row r="34" spans="1:8" ht="25.5">
      <c r="A34" s="43" t="s">
        <v>96</v>
      </c>
      <c r="B34" s="163" t="str">
        <f>OKŁADKA_P!A12</f>
        <v>Remont mostu łączącego drogi na działkach ewidencyjnych nr 729/1 oraz 2708 w Posadzie Jaśliskiej. Kilometraż obiektu: 0+053</v>
      </c>
      <c r="C34" s="163"/>
      <c r="D34" s="163"/>
      <c r="E34" s="163"/>
      <c r="F34" s="163"/>
      <c r="G34" s="163"/>
      <c r="H34" s="163"/>
    </row>
    <row r="35" spans="1:8" ht="13.5" thickBot="1">
      <c r="A35" s="58"/>
      <c r="B35" s="42"/>
      <c r="C35" s="42"/>
      <c r="D35" s="45"/>
      <c r="E35" s="45"/>
      <c r="F35" s="42"/>
      <c r="G35" s="42"/>
      <c r="H35" s="42"/>
    </row>
    <row r="36" spans="1:8" ht="25.5">
      <c r="A36" s="167" t="s">
        <v>4</v>
      </c>
      <c r="B36" s="112" t="s">
        <v>152</v>
      </c>
      <c r="C36" s="113" t="s">
        <v>157</v>
      </c>
      <c r="D36" s="113" t="s">
        <v>156</v>
      </c>
      <c r="E36" s="113" t="s">
        <v>236</v>
      </c>
      <c r="F36" s="113" t="s">
        <v>237</v>
      </c>
      <c r="G36" s="113" t="s">
        <v>159</v>
      </c>
      <c r="H36" s="114" t="s">
        <v>158</v>
      </c>
    </row>
    <row r="37" spans="1:8" ht="14.25">
      <c r="A37" s="168"/>
      <c r="B37" s="41" t="s">
        <v>97</v>
      </c>
      <c r="C37" s="41" t="s">
        <v>89</v>
      </c>
      <c r="D37" s="41" t="s">
        <v>89</v>
      </c>
      <c r="E37" s="41" t="s">
        <v>6</v>
      </c>
      <c r="F37" s="41" t="s">
        <v>6</v>
      </c>
      <c r="G37" s="41" t="s">
        <v>90</v>
      </c>
      <c r="H37" s="115" t="s">
        <v>90</v>
      </c>
    </row>
    <row r="38" spans="1:8" ht="12.75">
      <c r="A38" s="116">
        <v>1</v>
      </c>
      <c r="B38" s="44">
        <v>2</v>
      </c>
      <c r="C38" s="44">
        <v>3</v>
      </c>
      <c r="D38" s="44">
        <v>4</v>
      </c>
      <c r="E38" s="44">
        <v>5</v>
      </c>
      <c r="F38" s="44">
        <v>6</v>
      </c>
      <c r="G38" s="44">
        <v>8</v>
      </c>
      <c r="H38" s="117">
        <v>8</v>
      </c>
    </row>
    <row r="39" spans="1:8" ht="12.75" customHeight="1">
      <c r="A39" s="164" t="s">
        <v>239</v>
      </c>
      <c r="B39" s="165"/>
      <c r="C39" s="165"/>
      <c r="D39" s="165"/>
      <c r="E39" s="165"/>
      <c r="F39" s="165"/>
      <c r="G39" s="165"/>
      <c r="H39" s="166"/>
    </row>
    <row r="40" spans="1:8" ht="12.75">
      <c r="A40" s="118">
        <v>3</v>
      </c>
      <c r="B40" s="46" t="s">
        <v>99</v>
      </c>
      <c r="C40" s="46">
        <v>2.2</v>
      </c>
      <c r="D40" s="67">
        <v>1</v>
      </c>
      <c r="E40" s="67">
        <v>1.5</v>
      </c>
      <c r="F40" s="46">
        <v>2.7</v>
      </c>
      <c r="G40" s="46"/>
      <c r="H40" s="119"/>
    </row>
    <row r="41" spans="1:8" ht="12.75">
      <c r="A41" s="118">
        <v>0</v>
      </c>
      <c r="B41" s="46">
        <f>A40-A41</f>
        <v>3</v>
      </c>
      <c r="C41" s="46">
        <v>2.7</v>
      </c>
      <c r="D41" s="67">
        <v>1.5</v>
      </c>
      <c r="E41" s="67">
        <v>1.5</v>
      </c>
      <c r="F41" s="46">
        <v>2.5</v>
      </c>
      <c r="G41" s="67">
        <f>ROUND(AVERAGE(C40:C41)*(A40-A41),1)</f>
        <v>7.4</v>
      </c>
      <c r="H41" s="120">
        <f>ROUND(AVERAGE(D40:D41)*B41,1)</f>
        <v>3.8</v>
      </c>
    </row>
    <row r="42" spans="1:8" ht="12.75" customHeight="1">
      <c r="A42" s="164" t="s">
        <v>240</v>
      </c>
      <c r="B42" s="165"/>
      <c r="C42" s="165"/>
      <c r="D42" s="165"/>
      <c r="E42" s="165"/>
      <c r="F42" s="165"/>
      <c r="G42" s="165"/>
      <c r="H42" s="166"/>
    </row>
    <row r="43" spans="1:8" ht="12.75">
      <c r="A43" s="118">
        <v>3</v>
      </c>
      <c r="B43" s="46" t="s">
        <v>99</v>
      </c>
      <c r="C43" s="46">
        <v>2.1</v>
      </c>
      <c r="D43" s="67">
        <v>1.5</v>
      </c>
      <c r="E43" s="67">
        <v>2.8</v>
      </c>
      <c r="F43" s="46">
        <v>3.5</v>
      </c>
      <c r="G43" s="46"/>
      <c r="H43" s="119"/>
    </row>
    <row r="44" spans="1:8" ht="12.75">
      <c r="A44" s="118">
        <v>0</v>
      </c>
      <c r="B44" s="46">
        <f>A43-A44</f>
        <v>3</v>
      </c>
      <c r="C44" s="46">
        <v>2.3</v>
      </c>
      <c r="D44" s="67">
        <v>1.5</v>
      </c>
      <c r="E44" s="67">
        <v>1.5</v>
      </c>
      <c r="F44" s="46">
        <v>2.5</v>
      </c>
      <c r="G44" s="67">
        <f>ROUND(AVERAGE(C43:C44)*(A43-A44),1)</f>
        <v>6.6</v>
      </c>
      <c r="H44" s="120">
        <f>ROUND(AVERAGE(D43:D44)*B44,1)</f>
        <v>4.5</v>
      </c>
    </row>
    <row r="45" spans="1:8" ht="12.75" customHeight="1">
      <c r="A45" s="164" t="s">
        <v>241</v>
      </c>
      <c r="B45" s="165"/>
      <c r="C45" s="165"/>
      <c r="D45" s="165"/>
      <c r="E45" s="165"/>
      <c r="F45" s="165"/>
      <c r="G45" s="165"/>
      <c r="H45" s="166"/>
    </row>
    <row r="46" spans="1:8" ht="12.75">
      <c r="A46" s="118">
        <v>5</v>
      </c>
      <c r="B46" s="46" t="s">
        <v>99</v>
      </c>
      <c r="C46" s="46">
        <v>1.4</v>
      </c>
      <c r="D46" s="67">
        <v>0.5</v>
      </c>
      <c r="E46" s="67">
        <v>0.5</v>
      </c>
      <c r="F46" s="46">
        <v>1.5</v>
      </c>
      <c r="G46" s="46"/>
      <c r="H46" s="119"/>
    </row>
    <row r="47" spans="1:8" ht="12.75">
      <c r="A47" s="118">
        <v>0</v>
      </c>
      <c r="B47" s="46">
        <f>A46-A47</f>
        <v>5</v>
      </c>
      <c r="C47" s="46">
        <v>2.7</v>
      </c>
      <c r="D47" s="67">
        <v>1.5</v>
      </c>
      <c r="E47" s="67">
        <v>1.5</v>
      </c>
      <c r="F47" s="46">
        <v>2.5</v>
      </c>
      <c r="G47" s="67">
        <f>ROUND(AVERAGE(C46:C47)*(A46-A47),1)</f>
        <v>10.3</v>
      </c>
      <c r="H47" s="120">
        <f>ROUND(AVERAGE(D46:D47)*B47,1)</f>
        <v>5</v>
      </c>
    </row>
    <row r="48" spans="1:8" ht="12.75" customHeight="1">
      <c r="A48" s="164" t="s">
        <v>242</v>
      </c>
      <c r="B48" s="165"/>
      <c r="C48" s="165"/>
      <c r="D48" s="165"/>
      <c r="E48" s="165"/>
      <c r="F48" s="165"/>
      <c r="G48" s="165"/>
      <c r="H48" s="166"/>
    </row>
    <row r="49" spans="1:8" ht="12.75">
      <c r="A49" s="118">
        <v>5</v>
      </c>
      <c r="B49" s="46" t="s">
        <v>99</v>
      </c>
      <c r="C49" s="46">
        <v>2.8</v>
      </c>
      <c r="D49" s="67">
        <v>1.2</v>
      </c>
      <c r="E49" s="67">
        <v>2</v>
      </c>
      <c r="F49" s="46">
        <v>3</v>
      </c>
      <c r="G49" s="46"/>
      <c r="H49" s="119"/>
    </row>
    <row r="50" spans="1:8" ht="12.75">
      <c r="A50" s="118">
        <v>0</v>
      </c>
      <c r="B50" s="46">
        <f>A49-A50</f>
        <v>5</v>
      </c>
      <c r="C50" s="46">
        <v>2.3</v>
      </c>
      <c r="D50" s="67">
        <v>1.5</v>
      </c>
      <c r="E50" s="67">
        <v>1.5</v>
      </c>
      <c r="F50" s="46">
        <v>2.5</v>
      </c>
      <c r="G50" s="67">
        <f>ROUND(AVERAGE(C49:C50)*(A49-A50),1)</f>
        <v>12.8</v>
      </c>
      <c r="H50" s="120">
        <f>ROUND(AVERAGE(D49:D50)*B50,1)</f>
        <v>6.8</v>
      </c>
    </row>
    <row r="51" spans="1:8" ht="13.5" thickBot="1">
      <c r="A51" s="169" t="s">
        <v>109</v>
      </c>
      <c r="B51" s="170"/>
      <c r="C51" s="170"/>
      <c r="D51" s="170"/>
      <c r="E51" s="170"/>
      <c r="F51" s="170"/>
      <c r="G51" s="121">
        <f>SUM(G41:G41,G44:G44,G47:G47,G50:G50)</f>
        <v>37.1</v>
      </c>
      <c r="H51" s="122">
        <f>SUM(H41:H41,H44:H44,H47:H47,H50:H50)</f>
        <v>20.1</v>
      </c>
    </row>
    <row r="52" spans="1:3" ht="25.5">
      <c r="A52" s="167" t="s">
        <v>4</v>
      </c>
      <c r="B52" s="113" t="s">
        <v>238</v>
      </c>
      <c r="C52" s="114" t="s">
        <v>243</v>
      </c>
    </row>
    <row r="53" spans="1:3" ht="14.25">
      <c r="A53" s="168"/>
      <c r="B53" s="41" t="s">
        <v>89</v>
      </c>
      <c r="C53" s="115" t="s">
        <v>247</v>
      </c>
    </row>
    <row r="54" spans="1:3" ht="12.75">
      <c r="A54" s="116">
        <v>1</v>
      </c>
      <c r="B54" s="44">
        <v>9</v>
      </c>
      <c r="C54" s="117">
        <v>10</v>
      </c>
    </row>
    <row r="55" spans="1:3" ht="12.75" customHeight="1">
      <c r="A55" s="164" t="s">
        <v>239</v>
      </c>
      <c r="B55" s="165"/>
      <c r="C55" s="166"/>
    </row>
    <row r="56" spans="1:3" ht="12.75" customHeight="1">
      <c r="A56" s="118">
        <v>3</v>
      </c>
      <c r="B56" s="57"/>
      <c r="C56" s="123"/>
    </row>
    <row r="57" spans="1:3" ht="12.75" customHeight="1">
      <c r="A57" s="118">
        <v>0</v>
      </c>
      <c r="B57" s="67">
        <f>ROUND(AVERAGE(E40:E41)*B41,1)</f>
        <v>4.5</v>
      </c>
      <c r="C57" s="120">
        <f>ROUND(AVERAGE(F40:F41)*B41,1)</f>
        <v>7.8</v>
      </c>
    </row>
    <row r="58" spans="1:3" ht="12.75" customHeight="1">
      <c r="A58" s="164" t="s">
        <v>240</v>
      </c>
      <c r="B58" s="165"/>
      <c r="C58" s="166"/>
    </row>
    <row r="59" spans="1:3" ht="12.75" customHeight="1">
      <c r="A59" s="118">
        <v>3</v>
      </c>
      <c r="B59" s="57"/>
      <c r="C59" s="123"/>
    </row>
    <row r="60" spans="1:3" ht="12.75" customHeight="1">
      <c r="A60" s="118">
        <v>0</v>
      </c>
      <c r="B60" s="67">
        <f>ROUND(AVERAGE(E43:E44)*B44,1)</f>
        <v>6.5</v>
      </c>
      <c r="C60" s="120">
        <f>ROUND(AVERAGE(F43:F44)*B44,1)</f>
        <v>9</v>
      </c>
    </row>
    <row r="61" spans="1:3" ht="12.75" customHeight="1" thickBot="1">
      <c r="A61" s="164" t="s">
        <v>241</v>
      </c>
      <c r="B61" s="165"/>
      <c r="C61" s="166"/>
    </row>
    <row r="62" spans="1:8" ht="12.75" customHeight="1" thickBot="1">
      <c r="A62" s="118">
        <v>5</v>
      </c>
      <c r="B62" s="57"/>
      <c r="C62" s="123"/>
      <c r="E62" s="175" t="s">
        <v>244</v>
      </c>
      <c r="F62" s="176"/>
      <c r="G62" s="176"/>
      <c r="H62" s="177"/>
    </row>
    <row r="63" spans="1:8" ht="12.75" customHeight="1">
      <c r="A63" s="118">
        <v>0</v>
      </c>
      <c r="B63" s="67">
        <f>ROUND(AVERAGE(E46:E47)*B47,1)</f>
        <v>5</v>
      </c>
      <c r="C63" s="120">
        <f>ROUND(AVERAGE(F46:F47)*B47,1)</f>
        <v>10</v>
      </c>
      <c r="E63" s="125"/>
      <c r="F63" s="58"/>
      <c r="G63" s="109" t="s">
        <v>245</v>
      </c>
      <c r="H63" s="132" t="s">
        <v>246</v>
      </c>
    </row>
    <row r="64" spans="1:8" ht="12.75" customHeight="1">
      <c r="A64" s="164" t="s">
        <v>242</v>
      </c>
      <c r="B64" s="165"/>
      <c r="C64" s="166"/>
      <c r="E64" s="126" t="s">
        <v>159</v>
      </c>
      <c r="F64" s="48">
        <f>G51</f>
        <v>37.1</v>
      </c>
      <c r="G64" s="111">
        <v>0.15</v>
      </c>
      <c r="H64" s="127">
        <f>ROUND(F64*G64+F64,0)</f>
        <v>43</v>
      </c>
    </row>
    <row r="65" spans="1:8" ht="12.75" customHeight="1">
      <c r="A65" s="118">
        <v>5</v>
      </c>
      <c r="B65" s="57"/>
      <c r="C65" s="123"/>
      <c r="E65" s="126" t="s">
        <v>158</v>
      </c>
      <c r="F65" s="48">
        <f>H51</f>
        <v>20.1</v>
      </c>
      <c r="G65" s="111">
        <v>0.15</v>
      </c>
      <c r="H65" s="127">
        <f>ROUND(F65*G65+F65,0)</f>
        <v>23</v>
      </c>
    </row>
    <row r="66" spans="1:8" ht="12.75" customHeight="1">
      <c r="A66" s="118">
        <v>0</v>
      </c>
      <c r="B66" s="67">
        <f>ROUND(AVERAGE(E49:E50)*B50,1)</f>
        <v>8.8</v>
      </c>
      <c r="C66" s="120">
        <f>ROUND(AVERAGE(F49:F50)*B50,1)</f>
        <v>13.8</v>
      </c>
      <c r="E66" s="126" t="s">
        <v>238</v>
      </c>
      <c r="F66" s="48">
        <f>B67</f>
        <v>24.8</v>
      </c>
      <c r="G66" s="111">
        <v>0.15</v>
      </c>
      <c r="H66" s="127">
        <f>ROUND(F66*G66+F66,0)</f>
        <v>29</v>
      </c>
    </row>
    <row r="67" spans="1:8" ht="26.25" thickBot="1">
      <c r="A67" s="124" t="s">
        <v>109</v>
      </c>
      <c r="B67" s="121">
        <f>SUM(B56:B66)</f>
        <v>24.8</v>
      </c>
      <c r="C67" s="122">
        <f>SUM(C56:C66)</f>
        <v>40.6</v>
      </c>
      <c r="E67" s="128" t="s">
        <v>243</v>
      </c>
      <c r="F67" s="129">
        <f>C67</f>
        <v>40.6</v>
      </c>
      <c r="G67" s="130">
        <v>0.15</v>
      </c>
      <c r="H67" s="131">
        <f>ROUND(F67*G67+F67,0)</f>
        <v>47</v>
      </c>
    </row>
    <row r="70" ht="12.75" customHeight="1"/>
    <row r="74" ht="12.75" customHeight="1"/>
  </sheetData>
  <sheetProtection/>
  <mergeCells count="31">
    <mergeCell ref="A52:A53"/>
    <mergeCell ref="A26:C26"/>
    <mergeCell ref="A48:H48"/>
    <mergeCell ref="A28:C28"/>
    <mergeCell ref="A22:C22"/>
    <mergeCell ref="A17:H17"/>
    <mergeCell ref="A12:G12"/>
    <mergeCell ref="A29:C29"/>
    <mergeCell ref="A23:C23"/>
    <mergeCell ref="E62:H62"/>
    <mergeCell ref="A25:C25"/>
    <mergeCell ref="A55:C55"/>
    <mergeCell ref="A58:C58"/>
    <mergeCell ref="A61:C61"/>
    <mergeCell ref="A64:C64"/>
    <mergeCell ref="A33:H33"/>
    <mergeCell ref="B34:H34"/>
    <mergeCell ref="A36:A37"/>
    <mergeCell ref="A51:F51"/>
    <mergeCell ref="A24:C24"/>
    <mergeCell ref="A42:H42"/>
    <mergeCell ref="A45:H45"/>
    <mergeCell ref="A27:C27"/>
    <mergeCell ref="A39:H39"/>
    <mergeCell ref="A1:H1"/>
    <mergeCell ref="A4:A5"/>
    <mergeCell ref="A13:G13"/>
    <mergeCell ref="A14:G14"/>
    <mergeCell ref="B4:B5"/>
    <mergeCell ref="B18:H18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N266"/>
  <sheetViews>
    <sheetView view="pageBreakPreview" zoomScale="115" zoomScaleNormal="145" zoomScaleSheetLayoutView="115" zoomScalePageLayoutView="0" workbookViewId="0" topLeftCell="A1">
      <selection activeCell="D197" sqref="D197"/>
    </sheetView>
  </sheetViews>
  <sheetFormatPr defaultColWidth="9.00390625" defaultRowHeight="12.75"/>
  <cols>
    <col min="1" max="1" width="4.625" style="37" customWidth="1"/>
    <col min="2" max="2" width="12.875" style="37" customWidth="1"/>
    <col min="3" max="3" width="8.00390625" style="38" customWidth="1"/>
    <col min="4" max="4" width="66.875" style="39" customWidth="1"/>
    <col min="5" max="5" width="10.00390625" style="17" customWidth="1"/>
    <col min="6" max="6" width="11.125" style="65" customWidth="1"/>
    <col min="7" max="7" width="12.875" style="40" hidden="1" customWidth="1"/>
    <col min="8" max="8" width="12.75390625" style="40" hidden="1" customWidth="1"/>
    <col min="9" max="9" width="9.125" style="17" customWidth="1"/>
    <col min="10" max="10" width="15.25390625" style="90" customWidth="1"/>
    <col min="11" max="11" width="9.625" style="17" bestFit="1" customWidth="1"/>
    <col min="12" max="12" width="10.375" style="17" customWidth="1"/>
    <col min="13" max="16384" width="9.125" style="17" customWidth="1"/>
  </cols>
  <sheetData>
    <row r="1" spans="1:8" ht="24.75" customHeight="1">
      <c r="A1" s="188" t="str">
        <f>OKŁADKA_P!A9</f>
        <v>PRZEDMIAR ROBÓT</v>
      </c>
      <c r="B1" s="189"/>
      <c r="C1" s="189"/>
      <c r="D1" s="189"/>
      <c r="E1" s="189"/>
      <c r="F1" s="189"/>
      <c r="G1" s="189"/>
      <c r="H1" s="189"/>
    </row>
    <row r="2" spans="1:8" ht="69.75" customHeight="1">
      <c r="A2" s="188" t="str">
        <f>OKŁADKA_P!A12</f>
        <v>Remont mostu łączącego drogi na działkach ewidencyjnych nr 729/1 oraz 2708 w Posadzie Jaśliskiej. Kilometraż obiektu: 0+053</v>
      </c>
      <c r="B2" s="189"/>
      <c r="C2" s="189"/>
      <c r="D2" s="189"/>
      <c r="E2" s="189"/>
      <c r="F2" s="189"/>
      <c r="G2" s="189"/>
      <c r="H2" s="189"/>
    </row>
    <row r="3" spans="1:8" ht="30" customHeight="1">
      <c r="A3" s="190" t="s">
        <v>163</v>
      </c>
      <c r="B3" s="191"/>
      <c r="C3" s="191"/>
      <c r="D3" s="191"/>
      <c r="E3" s="191"/>
      <c r="F3" s="191"/>
      <c r="G3" s="191"/>
      <c r="H3" s="191"/>
    </row>
    <row r="4" spans="1:8" ht="15" customHeight="1">
      <c r="A4" s="18"/>
      <c r="B4" s="18"/>
      <c r="C4" s="19"/>
      <c r="D4" s="20"/>
      <c r="E4" s="20"/>
      <c r="F4" s="63"/>
      <c r="G4" s="21"/>
      <c r="H4" s="21"/>
    </row>
    <row r="5" spans="1:8" ht="21.75" customHeight="1">
      <c r="A5" s="192" t="s">
        <v>3</v>
      </c>
      <c r="B5" s="193" t="s">
        <v>24</v>
      </c>
      <c r="C5" s="184" t="s">
        <v>25</v>
      </c>
      <c r="D5" s="182" t="s">
        <v>20</v>
      </c>
      <c r="E5" s="195" t="s">
        <v>15</v>
      </c>
      <c r="F5" s="195"/>
      <c r="G5" s="194" t="s">
        <v>18</v>
      </c>
      <c r="H5" s="194" t="s">
        <v>19</v>
      </c>
    </row>
    <row r="6" spans="1:11" ht="21.75" customHeight="1">
      <c r="A6" s="192"/>
      <c r="B6" s="193"/>
      <c r="C6" s="185"/>
      <c r="D6" s="183"/>
      <c r="E6" s="25" t="s">
        <v>16</v>
      </c>
      <c r="F6" s="59" t="s">
        <v>26</v>
      </c>
      <c r="G6" s="194"/>
      <c r="H6" s="194"/>
      <c r="J6" s="90" t="s">
        <v>95</v>
      </c>
      <c r="K6" s="17">
        <v>1000</v>
      </c>
    </row>
    <row r="7" spans="1:12" ht="30" customHeight="1">
      <c r="A7" s="108" t="s">
        <v>224</v>
      </c>
      <c r="B7" s="186" t="s">
        <v>32</v>
      </c>
      <c r="C7" s="186"/>
      <c r="D7" s="186"/>
      <c r="E7" s="186"/>
      <c r="F7" s="186"/>
      <c r="G7" s="186"/>
      <c r="H7" s="187"/>
      <c r="J7" s="90" t="s">
        <v>91</v>
      </c>
      <c r="K7" s="17">
        <v>7.8</v>
      </c>
      <c r="L7" s="17" t="s">
        <v>276</v>
      </c>
    </row>
    <row r="8" spans="1:12" s="82" customFormat="1" ht="30" customHeight="1">
      <c r="A8" s="61" t="s">
        <v>230</v>
      </c>
      <c r="B8" s="61" t="s">
        <v>28</v>
      </c>
      <c r="C8" s="69"/>
      <c r="D8" s="61" t="s">
        <v>21</v>
      </c>
      <c r="E8" s="61" t="s">
        <v>17</v>
      </c>
      <c r="F8" s="54" t="s">
        <v>17</v>
      </c>
      <c r="G8" s="61" t="s">
        <v>17</v>
      </c>
      <c r="H8" s="61" t="s">
        <v>17</v>
      </c>
      <c r="J8" s="90" t="s">
        <v>92</v>
      </c>
      <c r="K8" s="82">
        <v>6</v>
      </c>
      <c r="L8" s="82">
        <v>6</v>
      </c>
    </row>
    <row r="9" spans="1:12" s="60" customFormat="1" ht="30" customHeight="1">
      <c r="A9" s="14" t="s">
        <v>17</v>
      </c>
      <c r="B9" s="14" t="s">
        <v>7</v>
      </c>
      <c r="C9" s="22"/>
      <c r="D9" s="23" t="s">
        <v>27</v>
      </c>
      <c r="E9" s="70" t="s">
        <v>17</v>
      </c>
      <c r="F9" s="28" t="s">
        <v>17</v>
      </c>
      <c r="G9" s="14" t="s">
        <v>17</v>
      </c>
      <c r="H9" s="14" t="s">
        <v>17</v>
      </c>
      <c r="J9" s="90" t="s">
        <v>93</v>
      </c>
      <c r="K9" s="17">
        <v>3</v>
      </c>
      <c r="L9" s="17"/>
    </row>
    <row r="10" spans="1:11" ht="30" customHeight="1">
      <c r="A10" s="10">
        <v>1</v>
      </c>
      <c r="B10" s="10" t="s">
        <v>7</v>
      </c>
      <c r="C10" s="24">
        <v>11</v>
      </c>
      <c r="D10" s="15" t="s">
        <v>41</v>
      </c>
      <c r="E10" s="25" t="s">
        <v>4</v>
      </c>
      <c r="F10" s="16">
        <f>SUM(F14,F12)</f>
        <v>0.0358</v>
      </c>
      <c r="G10" s="16">
        <v>35000</v>
      </c>
      <c r="H10" s="16">
        <f>IF(ROUND(F10*G10,2)=0," ",ROUND(F10*G10,2))</f>
        <v>1253</v>
      </c>
      <c r="K10" s="17">
        <v>3</v>
      </c>
    </row>
    <row r="11" spans="1:11" ht="12.75">
      <c r="A11" s="10"/>
      <c r="B11" s="10"/>
      <c r="C11" s="24"/>
      <c r="D11" s="15" t="s">
        <v>94</v>
      </c>
      <c r="E11" s="10"/>
      <c r="F11" s="16"/>
      <c r="G11" s="16"/>
      <c r="H11" s="16"/>
      <c r="K11" s="17">
        <v>5</v>
      </c>
    </row>
    <row r="12" spans="1:11" ht="12.75">
      <c r="A12" s="10"/>
      <c r="B12" s="10"/>
      <c r="C12" s="24"/>
      <c r="D12" s="15" t="str">
        <f>"("&amp;K7&amp;"+"&amp;K8&amp;"+"&amp;L8&amp;")/"&amp;K6&amp;""</f>
        <v>(7,8+6+6)/1000</v>
      </c>
      <c r="E12" s="10" t="s">
        <v>4</v>
      </c>
      <c r="F12" s="16">
        <f>(K7+K8+L8)/1000</f>
        <v>0.0198</v>
      </c>
      <c r="G12" s="16"/>
      <c r="H12" s="16"/>
      <c r="K12" s="17">
        <v>5</v>
      </c>
    </row>
    <row r="13" spans="1:8" ht="25.5">
      <c r="A13" s="10"/>
      <c r="B13" s="10"/>
      <c r="C13" s="24"/>
      <c r="D13" s="15" t="s">
        <v>83</v>
      </c>
      <c r="E13" s="10"/>
      <c r="F13" s="16"/>
      <c r="G13" s="16"/>
      <c r="H13" s="16"/>
    </row>
    <row r="14" spans="1:8" ht="12.75">
      <c r="A14" s="10"/>
      <c r="B14" s="10"/>
      <c r="C14" s="24"/>
      <c r="D14" s="15" t="str">
        <f>""&amp;K9&amp;"+"&amp;K10&amp;"+"&amp;K11&amp;"+"&amp;K12&amp;"/"&amp;K6&amp;""</f>
        <v>3+3+5+5/1000</v>
      </c>
      <c r="E14" s="10" t="s">
        <v>4</v>
      </c>
      <c r="F14" s="16">
        <f>(K9+K10+K11+K12)/K6</f>
        <v>0.016</v>
      </c>
      <c r="G14" s="16"/>
      <c r="H14" s="16"/>
    </row>
    <row r="15" spans="1:8" ht="12.75">
      <c r="A15" s="14" t="s">
        <v>17</v>
      </c>
      <c r="B15" s="14" t="s">
        <v>254</v>
      </c>
      <c r="C15" s="22"/>
      <c r="D15" s="23" t="s">
        <v>255</v>
      </c>
      <c r="E15" s="70" t="s">
        <v>17</v>
      </c>
      <c r="F15" s="133" t="s">
        <v>17</v>
      </c>
      <c r="G15" s="16"/>
      <c r="H15" s="16"/>
    </row>
    <row r="16" spans="1:8" ht="27.75" customHeight="1">
      <c r="A16" s="10">
        <f>A10+1</f>
        <v>2</v>
      </c>
      <c r="B16" s="10" t="s">
        <v>254</v>
      </c>
      <c r="C16" s="24" t="s">
        <v>39</v>
      </c>
      <c r="D16" s="15" t="s">
        <v>325</v>
      </c>
      <c r="E16" s="25" t="s">
        <v>89</v>
      </c>
      <c r="F16" s="11">
        <f>F18</f>
        <v>47</v>
      </c>
      <c r="G16" s="16"/>
      <c r="H16" s="16"/>
    </row>
    <row r="17" spans="1:8" ht="12.75">
      <c r="A17" s="10"/>
      <c r="B17" s="10"/>
      <c r="C17" s="24"/>
      <c r="D17" s="15" t="s">
        <v>256</v>
      </c>
      <c r="E17" s="10"/>
      <c r="F17" s="11"/>
      <c r="G17" s="16"/>
      <c r="H17" s="16"/>
    </row>
    <row r="18" spans="1:8" ht="12.75">
      <c r="A18" s="10"/>
      <c r="B18" s="10"/>
      <c r="C18" s="24"/>
      <c r="D18" s="15">
        <f>TABELE!H67</f>
        <v>47</v>
      </c>
      <c r="E18" s="10"/>
      <c r="F18" s="11">
        <f>TABELE!H67</f>
        <v>47</v>
      </c>
      <c r="G18" s="16"/>
      <c r="H18" s="16"/>
    </row>
    <row r="19" spans="1:12" s="60" customFormat="1" ht="30" customHeight="1">
      <c r="A19" s="14" t="s">
        <v>17</v>
      </c>
      <c r="B19" s="14" t="s">
        <v>42</v>
      </c>
      <c r="C19" s="22"/>
      <c r="D19" s="23" t="s">
        <v>43</v>
      </c>
      <c r="E19" s="70" t="s">
        <v>17</v>
      </c>
      <c r="F19" s="28" t="s">
        <v>17</v>
      </c>
      <c r="G19" s="14" t="s">
        <v>17</v>
      </c>
      <c r="H19" s="14" t="s">
        <v>17</v>
      </c>
      <c r="J19" s="90"/>
      <c r="K19" s="17"/>
      <c r="L19" s="17"/>
    </row>
    <row r="20" spans="1:8" ht="25.5">
      <c r="A20" s="10">
        <f>A16+1</f>
        <v>3</v>
      </c>
      <c r="B20" s="10" t="s">
        <v>42</v>
      </c>
      <c r="C20" s="24">
        <v>11</v>
      </c>
      <c r="D20" s="15" t="s">
        <v>129</v>
      </c>
      <c r="E20" s="25" t="s">
        <v>90</v>
      </c>
      <c r="F20" s="16">
        <f>SUM(F21:F22)</f>
        <v>21.3</v>
      </c>
      <c r="G20" s="16">
        <v>547.93</v>
      </c>
      <c r="H20" s="16">
        <f>IF(ROUND(F20*G20,2)=0," ",ROUND(F20*G20,2))</f>
        <v>11670.91</v>
      </c>
    </row>
    <row r="21" spans="1:8" ht="25.5">
      <c r="A21" s="10"/>
      <c r="B21" s="10"/>
      <c r="C21" s="24"/>
      <c r="D21" s="15" t="s">
        <v>277</v>
      </c>
      <c r="E21" s="10"/>
      <c r="F21" s="16"/>
      <c r="G21" s="16"/>
      <c r="H21" s="16"/>
    </row>
    <row r="22" spans="1:8" ht="20.25" customHeight="1">
      <c r="A22" s="10"/>
      <c r="B22" s="10"/>
      <c r="C22" s="24"/>
      <c r="D22" s="71">
        <f>TABELE!H14</f>
        <v>21.3</v>
      </c>
      <c r="E22" s="10"/>
      <c r="F22" s="16">
        <f>D22</f>
        <v>21.3</v>
      </c>
      <c r="G22" s="16"/>
      <c r="H22" s="16"/>
    </row>
    <row r="23" spans="1:8" ht="30" customHeight="1">
      <c r="A23" s="10">
        <f>A20+1</f>
        <v>4</v>
      </c>
      <c r="B23" s="10" t="s">
        <v>42</v>
      </c>
      <c r="C23" s="24">
        <v>11</v>
      </c>
      <c r="D23" s="15" t="s">
        <v>278</v>
      </c>
      <c r="E23" s="25" t="s">
        <v>88</v>
      </c>
      <c r="F23" s="16">
        <f>F25</f>
        <v>4</v>
      </c>
      <c r="G23" s="16"/>
      <c r="H23" s="16"/>
    </row>
    <row r="24" spans="1:8" ht="89.25">
      <c r="A24" s="79"/>
      <c r="B24" s="79"/>
      <c r="C24" s="80"/>
      <c r="D24" s="15" t="s">
        <v>318</v>
      </c>
      <c r="E24" s="79"/>
      <c r="F24" s="83"/>
      <c r="G24" s="16"/>
      <c r="H24" s="16"/>
    </row>
    <row r="25" spans="1:8" ht="20.25" customHeight="1">
      <c r="A25" s="79"/>
      <c r="B25" s="79"/>
      <c r="C25" s="80"/>
      <c r="D25" s="134">
        <v>4</v>
      </c>
      <c r="E25" s="25" t="str">
        <f>E23</f>
        <v>szt.</v>
      </c>
      <c r="F25" s="16">
        <f>D25</f>
        <v>4</v>
      </c>
      <c r="G25" s="16"/>
      <c r="H25" s="16"/>
    </row>
    <row r="26" spans="1:12" s="60" customFormat="1" ht="30" customHeight="1">
      <c r="A26" s="14" t="s">
        <v>17</v>
      </c>
      <c r="B26" s="14" t="s">
        <v>75</v>
      </c>
      <c r="C26" s="22"/>
      <c r="D26" s="23" t="s">
        <v>76</v>
      </c>
      <c r="E26" s="70" t="s">
        <v>17</v>
      </c>
      <c r="F26" s="28" t="s">
        <v>17</v>
      </c>
      <c r="G26" s="14" t="s">
        <v>17</v>
      </c>
      <c r="H26" s="14" t="s">
        <v>17</v>
      </c>
      <c r="J26" s="90"/>
      <c r="K26" s="17"/>
      <c r="L26" s="17"/>
    </row>
    <row r="27" spans="1:8" ht="30" customHeight="1">
      <c r="A27" s="10">
        <f>A23+1</f>
        <v>5</v>
      </c>
      <c r="B27" s="10" t="s">
        <v>75</v>
      </c>
      <c r="C27" s="24" t="s">
        <v>40</v>
      </c>
      <c r="D27" s="15" t="s">
        <v>185</v>
      </c>
      <c r="E27" s="25" t="s">
        <v>89</v>
      </c>
      <c r="F27" s="16">
        <f>F29</f>
        <v>49.8</v>
      </c>
      <c r="G27" s="16">
        <v>50</v>
      </c>
      <c r="H27" s="16">
        <f>IF(ROUND(F27*G27,2)=0," ",ROUND(F27*G27,2))</f>
        <v>2490</v>
      </c>
    </row>
    <row r="28" spans="1:8" ht="51">
      <c r="A28" s="10"/>
      <c r="B28" s="10"/>
      <c r="C28" s="24"/>
      <c r="D28" s="15" t="s">
        <v>281</v>
      </c>
      <c r="E28" s="10"/>
      <c r="F28" s="16"/>
      <c r="G28" s="16"/>
      <c r="H28" s="16"/>
    </row>
    <row r="29" spans="1:8" ht="14.25">
      <c r="A29" s="10"/>
      <c r="B29" s="10"/>
      <c r="C29" s="24"/>
      <c r="D29" s="81" t="s">
        <v>279</v>
      </c>
      <c r="E29" s="25" t="s">
        <v>89</v>
      </c>
      <c r="F29" s="16">
        <f>TABELE!G24</f>
        <v>49.8</v>
      </c>
      <c r="G29" s="16"/>
      <c r="H29" s="16"/>
    </row>
    <row r="30" spans="1:8" ht="30" customHeight="1" hidden="1">
      <c r="A30" s="10"/>
      <c r="B30" s="14"/>
      <c r="C30" s="22"/>
      <c r="D30" s="179" t="str">
        <f>"RAZEM: "&amp;D8&amp;""</f>
        <v>RAZEM: ROBOTY PRZYGOTOWAWCZE</v>
      </c>
      <c r="E30" s="179"/>
      <c r="F30" s="179"/>
      <c r="G30" s="179"/>
      <c r="H30" s="53" t="e">
        <f>IF(SUM(#REF!,#REF!,H27,H20,#REF!,H10)=0," ",SUM(#REF!,#REF!,H27,H20,#REF!,H10))</f>
        <v>#REF!</v>
      </c>
    </row>
    <row r="31" spans="1:10" s="82" customFormat="1" ht="30" customHeight="1">
      <c r="A31" s="61" t="s">
        <v>258</v>
      </c>
      <c r="B31" s="61" t="s">
        <v>29</v>
      </c>
      <c r="C31" s="69"/>
      <c r="D31" s="61" t="s">
        <v>22</v>
      </c>
      <c r="E31" s="61" t="s">
        <v>17</v>
      </c>
      <c r="F31" s="54" t="s">
        <v>17</v>
      </c>
      <c r="G31" s="61" t="s">
        <v>17</v>
      </c>
      <c r="H31" s="61" t="s">
        <v>17</v>
      </c>
      <c r="J31" s="90"/>
    </row>
    <row r="32" spans="1:12" s="60" customFormat="1" ht="30" customHeight="1">
      <c r="A32" s="14" t="s">
        <v>17</v>
      </c>
      <c r="B32" s="14" t="s">
        <v>30</v>
      </c>
      <c r="C32" s="22"/>
      <c r="D32" s="23" t="s">
        <v>31</v>
      </c>
      <c r="E32" s="70" t="s">
        <v>17</v>
      </c>
      <c r="F32" s="28" t="s">
        <v>17</v>
      </c>
      <c r="G32" s="14" t="s">
        <v>17</v>
      </c>
      <c r="H32" s="14" t="s">
        <v>17</v>
      </c>
      <c r="J32" s="90"/>
      <c r="K32" s="17"/>
      <c r="L32" s="17"/>
    </row>
    <row r="33" spans="1:8" ht="30" customHeight="1">
      <c r="A33" s="10">
        <f>A27+1</f>
        <v>6</v>
      </c>
      <c r="B33" s="10" t="s">
        <v>30</v>
      </c>
      <c r="C33" s="24" t="s">
        <v>40</v>
      </c>
      <c r="D33" s="15" t="s">
        <v>189</v>
      </c>
      <c r="E33" s="25" t="s">
        <v>90</v>
      </c>
      <c r="F33" s="16">
        <f>F35</f>
        <v>23</v>
      </c>
      <c r="G33" s="16">
        <v>11.63</v>
      </c>
      <c r="H33" s="16">
        <f>IF(ROUND(F33*G33,2)=0," ",ROUND(F33*G33,2))</f>
        <v>267.49</v>
      </c>
    </row>
    <row r="34" spans="1:11" ht="51">
      <c r="A34" s="10"/>
      <c r="B34" s="10"/>
      <c r="C34" s="24"/>
      <c r="D34" s="15" t="s">
        <v>280</v>
      </c>
      <c r="E34" s="25"/>
      <c r="F34" s="16"/>
      <c r="G34" s="16"/>
      <c r="H34" s="16"/>
      <c r="K34" s="51"/>
    </row>
    <row r="35" spans="1:8" ht="14.25">
      <c r="A35" s="10"/>
      <c r="B35" s="10"/>
      <c r="C35" s="24"/>
      <c r="D35" s="81">
        <f>TABELE!H65</f>
        <v>23</v>
      </c>
      <c r="E35" s="25" t="s">
        <v>90</v>
      </c>
      <c r="F35" s="16">
        <f>D35</f>
        <v>23</v>
      </c>
      <c r="G35" s="16"/>
      <c r="H35" s="16"/>
    </row>
    <row r="36" spans="1:8" ht="25.5">
      <c r="A36" s="10">
        <f>A33+1</f>
        <v>7</v>
      </c>
      <c r="B36" s="10" t="s">
        <v>30</v>
      </c>
      <c r="C36" s="24" t="s">
        <v>59</v>
      </c>
      <c r="D36" s="15" t="s">
        <v>188</v>
      </c>
      <c r="E36" s="25" t="s">
        <v>90</v>
      </c>
      <c r="F36" s="16">
        <f>F38+F40</f>
        <v>78.2</v>
      </c>
      <c r="G36" s="16">
        <v>62.14</v>
      </c>
      <c r="H36" s="16">
        <f>IF(ROUND(F36*G36,2)=0," ",ROUND(F36*G36,2))</f>
        <v>4859.35</v>
      </c>
    </row>
    <row r="37" spans="1:8" ht="25.5">
      <c r="A37" s="10"/>
      <c r="B37" s="10"/>
      <c r="C37" s="24"/>
      <c r="D37" s="15" t="s">
        <v>132</v>
      </c>
      <c r="E37" s="25"/>
      <c r="F37" s="16"/>
      <c r="G37" s="16"/>
      <c r="H37" s="16"/>
    </row>
    <row r="38" spans="1:8" ht="14.25">
      <c r="A38" s="10"/>
      <c r="B38" s="10"/>
      <c r="C38" s="24"/>
      <c r="D38" s="81">
        <f>PRZEDMIAR!F190</f>
        <v>58.2</v>
      </c>
      <c r="E38" s="25" t="s">
        <v>90</v>
      </c>
      <c r="F38" s="16">
        <f>D38</f>
        <v>58.2</v>
      </c>
      <c r="G38" s="16"/>
      <c r="H38" s="16"/>
    </row>
    <row r="39" spans="1:8" ht="25.5">
      <c r="A39" s="10"/>
      <c r="B39" s="10"/>
      <c r="C39" s="24"/>
      <c r="D39" s="15" t="s">
        <v>190</v>
      </c>
      <c r="E39" s="25"/>
      <c r="F39" s="16"/>
      <c r="G39" s="16"/>
      <c r="H39" s="16"/>
    </row>
    <row r="40" spans="1:8" ht="14.25">
      <c r="A40" s="10"/>
      <c r="B40" s="10"/>
      <c r="C40" s="24"/>
      <c r="D40" s="81" t="str">
        <f>""&amp;TABELE!H64&amp;"-"&amp;TABELE!H65&amp;""</f>
        <v>43-23</v>
      </c>
      <c r="E40" s="25" t="s">
        <v>90</v>
      </c>
      <c r="F40" s="16">
        <f>TABELE!H64-TABELE!H65</f>
        <v>20</v>
      </c>
      <c r="G40" s="16"/>
      <c r="H40" s="16"/>
    </row>
    <row r="41" spans="1:8" ht="30" customHeight="1" hidden="1">
      <c r="A41" s="25"/>
      <c r="B41" s="14"/>
      <c r="C41" s="22"/>
      <c r="D41" s="179" t="str">
        <f>"RAZEM: "&amp;D31&amp;""</f>
        <v>RAZEM: ROBOTY ZIEMNE</v>
      </c>
      <c r="E41" s="179"/>
      <c r="F41" s="179"/>
      <c r="G41" s="179"/>
      <c r="H41" s="53" t="e">
        <f>IF(SUM(H33,H36,#REF!,#REF!)=0," ",SUM(H33,H36,#REF!,#REF!))</f>
        <v>#REF!</v>
      </c>
    </row>
    <row r="42" spans="1:10" s="82" customFormat="1" ht="30" customHeight="1">
      <c r="A42" s="61" t="s">
        <v>259</v>
      </c>
      <c r="B42" s="61" t="s">
        <v>44</v>
      </c>
      <c r="C42" s="69"/>
      <c r="D42" s="61" t="s">
        <v>45</v>
      </c>
      <c r="E42" s="61" t="s">
        <v>17</v>
      </c>
      <c r="F42" s="54" t="s">
        <v>17</v>
      </c>
      <c r="G42" s="61" t="s">
        <v>17</v>
      </c>
      <c r="H42" s="61" t="s">
        <v>17</v>
      </c>
      <c r="J42" s="90"/>
    </row>
    <row r="43" spans="1:8" ht="30" customHeight="1">
      <c r="A43" s="14" t="s">
        <v>17</v>
      </c>
      <c r="B43" s="14" t="s">
        <v>46</v>
      </c>
      <c r="C43" s="22"/>
      <c r="D43" s="23" t="s">
        <v>47</v>
      </c>
      <c r="E43" s="70" t="s">
        <v>17</v>
      </c>
      <c r="F43" s="28" t="s">
        <v>17</v>
      </c>
      <c r="G43" s="16" t="s">
        <v>17</v>
      </c>
      <c r="H43" s="16" t="s">
        <v>17</v>
      </c>
    </row>
    <row r="44" spans="1:8" ht="30" customHeight="1">
      <c r="A44" s="10">
        <f>A36+1</f>
        <v>8</v>
      </c>
      <c r="B44" s="10" t="s">
        <v>46</v>
      </c>
      <c r="C44" s="24" t="s">
        <v>64</v>
      </c>
      <c r="D44" s="15" t="s">
        <v>391</v>
      </c>
      <c r="E44" s="25" t="s">
        <v>89</v>
      </c>
      <c r="F44" s="16">
        <f>F46</f>
        <v>49.8</v>
      </c>
      <c r="G44" s="16">
        <v>29.85</v>
      </c>
      <c r="H44" s="16">
        <f>IF(ROUND(F44*G44,2)=0," ",ROUND(F44*G44,2))</f>
        <v>1486.53</v>
      </c>
    </row>
    <row r="45" spans="1:8" ht="25.5">
      <c r="A45" s="10"/>
      <c r="B45" s="10"/>
      <c r="C45" s="24"/>
      <c r="D45" s="15" t="s">
        <v>200</v>
      </c>
      <c r="E45" s="10"/>
      <c r="F45" s="16"/>
      <c r="G45" s="16"/>
      <c r="H45" s="16"/>
    </row>
    <row r="46" spans="1:8" ht="14.25">
      <c r="A46" s="10"/>
      <c r="B46" s="10"/>
      <c r="C46" s="24"/>
      <c r="D46" s="81">
        <f>TABELE!G24</f>
        <v>49.8</v>
      </c>
      <c r="E46" s="25" t="s">
        <v>89</v>
      </c>
      <c r="F46" s="16">
        <f>D46</f>
        <v>49.8</v>
      </c>
      <c r="G46" s="16"/>
      <c r="H46" s="16"/>
    </row>
    <row r="47" spans="1:8" ht="12.75">
      <c r="A47" s="14" t="s">
        <v>17</v>
      </c>
      <c r="B47" s="14" t="s">
        <v>201</v>
      </c>
      <c r="C47" s="103"/>
      <c r="D47" s="23" t="s">
        <v>202</v>
      </c>
      <c r="E47" s="102" t="s">
        <v>17</v>
      </c>
      <c r="F47" s="102" t="s">
        <v>17</v>
      </c>
      <c r="G47" s="16"/>
      <c r="H47" s="16"/>
    </row>
    <row r="48" spans="1:8" ht="25.5">
      <c r="A48" s="10">
        <f>A44+1</f>
        <v>9</v>
      </c>
      <c r="B48" s="79" t="s">
        <v>201</v>
      </c>
      <c r="C48" s="80" t="s">
        <v>39</v>
      </c>
      <c r="D48" s="15" t="s">
        <v>326</v>
      </c>
      <c r="E48" s="25" t="s">
        <v>203</v>
      </c>
      <c r="F48" s="16">
        <f>F50</f>
        <v>49.8</v>
      </c>
      <c r="G48" s="16"/>
      <c r="H48" s="16"/>
    </row>
    <row r="49" spans="1:8" ht="25.5">
      <c r="A49" s="78"/>
      <c r="B49" s="79"/>
      <c r="C49" s="80"/>
      <c r="D49" s="15" t="s">
        <v>327</v>
      </c>
      <c r="E49" s="79"/>
      <c r="F49" s="16"/>
      <c r="G49" s="16"/>
      <c r="H49" s="16"/>
    </row>
    <row r="50" spans="1:8" ht="14.25">
      <c r="A50" s="10"/>
      <c r="B50" s="10"/>
      <c r="C50" s="24"/>
      <c r="D50" s="81">
        <f>TABELE!G25</f>
        <v>49.8</v>
      </c>
      <c r="E50" s="25" t="s">
        <v>89</v>
      </c>
      <c r="F50" s="16">
        <f>D50</f>
        <v>49.8</v>
      </c>
      <c r="G50" s="16"/>
      <c r="H50" s="16"/>
    </row>
    <row r="51" spans="1:8" ht="30" customHeight="1">
      <c r="A51" s="14" t="s">
        <v>17</v>
      </c>
      <c r="B51" s="14" t="s">
        <v>329</v>
      </c>
      <c r="C51" s="22"/>
      <c r="D51" s="23" t="s">
        <v>335</v>
      </c>
      <c r="E51" s="70" t="s">
        <v>17</v>
      </c>
      <c r="F51" s="28" t="s">
        <v>17</v>
      </c>
      <c r="G51" s="16" t="s">
        <v>17</v>
      </c>
      <c r="H51" s="16" t="s">
        <v>17</v>
      </c>
    </row>
    <row r="52" spans="1:8" ht="30" customHeight="1">
      <c r="A52" s="14" t="s">
        <v>17</v>
      </c>
      <c r="B52" s="14" t="s">
        <v>60</v>
      </c>
      <c r="C52" s="22"/>
      <c r="D52" s="23" t="s">
        <v>330</v>
      </c>
      <c r="E52" s="70" t="s">
        <v>17</v>
      </c>
      <c r="F52" s="28" t="s">
        <v>17</v>
      </c>
      <c r="G52" s="16"/>
      <c r="H52" s="16"/>
    </row>
    <row r="53" spans="1:8" ht="30" customHeight="1">
      <c r="A53" s="10">
        <f>A48+1</f>
        <v>10</v>
      </c>
      <c r="B53" s="10" t="s">
        <v>60</v>
      </c>
      <c r="C53" s="24" t="s">
        <v>328</v>
      </c>
      <c r="D53" s="15" t="s">
        <v>61</v>
      </c>
      <c r="E53" s="25" t="s">
        <v>89</v>
      </c>
      <c r="F53" s="16">
        <f>F56+F58</f>
        <v>81.5</v>
      </c>
      <c r="G53" s="16">
        <v>1.88</v>
      </c>
      <c r="H53" s="16">
        <f>IF(ROUND(F53*G53,2)=0," ",ROUND(F53*G53,2))</f>
        <v>153.22</v>
      </c>
    </row>
    <row r="54" spans="1:8" ht="39.75" customHeight="1">
      <c r="A54" s="10"/>
      <c r="B54" s="10"/>
      <c r="C54" s="24"/>
      <c r="D54" s="15" t="s">
        <v>257</v>
      </c>
      <c r="E54" s="25"/>
      <c r="F54" s="16"/>
      <c r="G54" s="16"/>
      <c r="H54" s="16"/>
    </row>
    <row r="55" spans="1:8" ht="30" customHeight="1">
      <c r="A55" s="10"/>
      <c r="B55" s="10"/>
      <c r="C55" s="24"/>
      <c r="D55" s="15" t="s">
        <v>111</v>
      </c>
      <c r="E55" s="25"/>
      <c r="F55" s="16"/>
      <c r="G55" s="16"/>
      <c r="H55" s="16"/>
    </row>
    <row r="56" spans="1:8" ht="30" customHeight="1">
      <c r="A56" s="10"/>
      <c r="B56" s="10"/>
      <c r="C56" s="24"/>
      <c r="D56" s="81">
        <f>TABELE!G23</f>
        <v>39.5</v>
      </c>
      <c r="E56" s="25" t="s">
        <v>89</v>
      </c>
      <c r="F56" s="16">
        <f>D56</f>
        <v>39.5</v>
      </c>
      <c r="G56" s="16"/>
      <c r="H56" s="16"/>
    </row>
    <row r="57" spans="1:8" ht="30" customHeight="1">
      <c r="A57" s="10"/>
      <c r="B57" s="10"/>
      <c r="C57" s="24"/>
      <c r="D57" s="15" t="s">
        <v>154</v>
      </c>
      <c r="E57" s="25"/>
      <c r="F57" s="16"/>
      <c r="G57" s="16"/>
      <c r="H57" s="16"/>
    </row>
    <row r="58" spans="1:8" ht="30" customHeight="1">
      <c r="A58" s="10"/>
      <c r="B58" s="10"/>
      <c r="C58" s="24"/>
      <c r="D58" s="81">
        <f>TABELE!G22</f>
        <v>42</v>
      </c>
      <c r="E58" s="25" t="s">
        <v>89</v>
      </c>
      <c r="F58" s="16">
        <f>D58</f>
        <v>42</v>
      </c>
      <c r="G58" s="16"/>
      <c r="H58" s="16"/>
    </row>
    <row r="59" spans="1:8" ht="30" customHeight="1">
      <c r="A59" s="14" t="s">
        <v>17</v>
      </c>
      <c r="B59" s="14" t="s">
        <v>331</v>
      </c>
      <c r="C59" s="22"/>
      <c r="D59" s="23" t="s">
        <v>332</v>
      </c>
      <c r="E59" s="70" t="s">
        <v>17</v>
      </c>
      <c r="F59" s="28" t="s">
        <v>17</v>
      </c>
      <c r="G59" s="16"/>
      <c r="H59" s="16"/>
    </row>
    <row r="60" spans="1:8" ht="30" customHeight="1">
      <c r="A60" s="10">
        <f>A53+1</f>
        <v>11</v>
      </c>
      <c r="B60" s="10" t="s">
        <v>60</v>
      </c>
      <c r="C60" s="24" t="s">
        <v>58</v>
      </c>
      <c r="D60" s="15" t="s">
        <v>62</v>
      </c>
      <c r="E60" s="25" t="s">
        <v>89</v>
      </c>
      <c r="F60" s="16">
        <f>F63+F65</f>
        <v>81.5</v>
      </c>
      <c r="G60" s="16">
        <v>2.85</v>
      </c>
      <c r="H60" s="16">
        <f>IF(ROUND(F60*G60,2)=0," ",ROUND(F60*G60,2))</f>
        <v>232.28</v>
      </c>
    </row>
    <row r="61" spans="1:8" ht="25.5">
      <c r="A61" s="10"/>
      <c r="B61" s="10"/>
      <c r="C61" s="24"/>
      <c r="D61" s="15" t="s">
        <v>172</v>
      </c>
      <c r="E61" s="25"/>
      <c r="F61" s="16"/>
      <c r="G61" s="16"/>
      <c r="H61" s="16"/>
    </row>
    <row r="62" spans="1:8" ht="30" customHeight="1">
      <c r="A62" s="10"/>
      <c r="B62" s="10"/>
      <c r="C62" s="24"/>
      <c r="D62" s="15" t="s">
        <v>112</v>
      </c>
      <c r="E62" s="25"/>
      <c r="F62" s="16"/>
      <c r="G62" s="16"/>
      <c r="H62" s="16"/>
    </row>
    <row r="63" spans="1:8" ht="30" customHeight="1">
      <c r="A63" s="10"/>
      <c r="B63" s="10"/>
      <c r="C63" s="24"/>
      <c r="D63" s="81">
        <f>TABELE!G23</f>
        <v>39.5</v>
      </c>
      <c r="E63" s="25" t="s">
        <v>89</v>
      </c>
      <c r="F63" s="16">
        <f>D63</f>
        <v>39.5</v>
      </c>
      <c r="G63" s="16"/>
      <c r="H63" s="16"/>
    </row>
    <row r="64" spans="1:8" ht="30" customHeight="1">
      <c r="A64" s="10"/>
      <c r="B64" s="10"/>
      <c r="C64" s="24"/>
      <c r="D64" s="15" t="s">
        <v>155</v>
      </c>
      <c r="E64" s="25"/>
      <c r="F64" s="16"/>
      <c r="G64" s="16"/>
      <c r="H64" s="16"/>
    </row>
    <row r="65" spans="1:8" ht="30" customHeight="1">
      <c r="A65" s="10"/>
      <c r="B65" s="10"/>
      <c r="C65" s="24"/>
      <c r="D65" s="81">
        <f>TABELE!G22</f>
        <v>42</v>
      </c>
      <c r="E65" s="25" t="s">
        <v>89</v>
      </c>
      <c r="F65" s="16">
        <f>D65</f>
        <v>42</v>
      </c>
      <c r="G65" s="16"/>
      <c r="H65" s="16"/>
    </row>
    <row r="66" spans="1:8" ht="30" customHeight="1">
      <c r="A66" s="14" t="s">
        <v>17</v>
      </c>
      <c r="B66" s="14" t="s">
        <v>333</v>
      </c>
      <c r="C66" s="22"/>
      <c r="D66" s="23" t="s">
        <v>334</v>
      </c>
      <c r="E66" s="14" t="s">
        <v>17</v>
      </c>
      <c r="F66" s="28" t="s">
        <v>17</v>
      </c>
      <c r="G66" s="16"/>
      <c r="H66" s="16"/>
    </row>
    <row r="67" spans="1:8" ht="30" customHeight="1">
      <c r="A67" s="14" t="s">
        <v>17</v>
      </c>
      <c r="B67" s="14" t="s">
        <v>336</v>
      </c>
      <c r="C67" s="22"/>
      <c r="D67" s="23" t="s">
        <v>337</v>
      </c>
      <c r="E67" s="14" t="s">
        <v>17</v>
      </c>
      <c r="F67" s="28" t="s">
        <v>17</v>
      </c>
      <c r="G67" s="16" t="s">
        <v>17</v>
      </c>
      <c r="H67" s="16" t="s">
        <v>17</v>
      </c>
    </row>
    <row r="68" spans="1:8" ht="30" customHeight="1">
      <c r="A68" s="10">
        <f>A60+1</f>
        <v>12</v>
      </c>
      <c r="B68" s="10" t="s">
        <v>336</v>
      </c>
      <c r="C68" s="24" t="s">
        <v>338</v>
      </c>
      <c r="D68" s="15" t="s">
        <v>339</v>
      </c>
      <c r="E68" s="25" t="s">
        <v>89</v>
      </c>
      <c r="F68" s="16">
        <f>F70</f>
        <v>42</v>
      </c>
      <c r="G68" s="16">
        <v>72.42</v>
      </c>
      <c r="H68" s="16">
        <f>IF(ROUND(F68*G68,2)=0," ",ROUND(F68*G68,2))</f>
        <v>3041.64</v>
      </c>
    </row>
    <row r="69" spans="1:8" ht="30" customHeight="1">
      <c r="A69" s="10"/>
      <c r="B69" s="10"/>
      <c r="C69" s="24"/>
      <c r="D69" s="15" t="s">
        <v>186</v>
      </c>
      <c r="E69" s="10"/>
      <c r="F69" s="16"/>
      <c r="G69" s="16"/>
      <c r="H69" s="16"/>
    </row>
    <row r="70" spans="1:8" ht="30" customHeight="1">
      <c r="A70" s="10"/>
      <c r="B70" s="10"/>
      <c r="C70" s="24"/>
      <c r="D70" s="81">
        <f>TABELE!G26</f>
        <v>42</v>
      </c>
      <c r="E70" s="25" t="s">
        <v>89</v>
      </c>
      <c r="F70" s="16">
        <f>D70</f>
        <v>42</v>
      </c>
      <c r="G70" s="16"/>
      <c r="H70" s="16"/>
    </row>
    <row r="71" spans="1:8" ht="30" customHeight="1">
      <c r="A71" s="14" t="s">
        <v>17</v>
      </c>
      <c r="B71" s="14" t="s">
        <v>84</v>
      </c>
      <c r="C71" s="22"/>
      <c r="D71" s="23" t="s">
        <v>85</v>
      </c>
      <c r="E71" s="14" t="s">
        <v>17</v>
      </c>
      <c r="F71" s="28" t="s">
        <v>17</v>
      </c>
      <c r="G71" s="16" t="s">
        <v>17</v>
      </c>
      <c r="H71" s="16" t="s">
        <v>17</v>
      </c>
    </row>
    <row r="72" spans="1:8" ht="30" customHeight="1">
      <c r="A72" s="10">
        <f>A68+1</f>
        <v>13</v>
      </c>
      <c r="B72" s="10" t="s">
        <v>84</v>
      </c>
      <c r="C72" s="24" t="s">
        <v>340</v>
      </c>
      <c r="D72" s="15" t="s">
        <v>344</v>
      </c>
      <c r="E72" s="25" t="s">
        <v>89</v>
      </c>
      <c r="F72" s="16">
        <f>F74</f>
        <v>39.5</v>
      </c>
      <c r="G72" s="16">
        <v>52.86</v>
      </c>
      <c r="H72" s="16">
        <f>IF(ROUND(F72*G72,2)=0," ",ROUND(F72*G72,2))</f>
        <v>2087.97</v>
      </c>
    </row>
    <row r="73" spans="1:8" ht="25.5">
      <c r="A73" s="10"/>
      <c r="B73" s="10"/>
      <c r="C73" s="24"/>
      <c r="D73" s="15" t="s">
        <v>204</v>
      </c>
      <c r="E73" s="10"/>
      <c r="F73" s="16"/>
      <c r="G73" s="16"/>
      <c r="H73" s="16"/>
    </row>
    <row r="74" spans="1:8" ht="30" customHeight="1">
      <c r="A74" s="10"/>
      <c r="B74" s="10"/>
      <c r="C74" s="24"/>
      <c r="D74" s="81">
        <f>TABELE!G27</f>
        <v>39.5</v>
      </c>
      <c r="E74" s="25" t="s">
        <v>89</v>
      </c>
      <c r="F74" s="16">
        <f>D74</f>
        <v>39.5</v>
      </c>
      <c r="G74" s="16"/>
      <c r="H74" s="16"/>
    </row>
    <row r="75" spans="1:8" ht="30" customHeight="1" hidden="1">
      <c r="A75" s="25"/>
      <c r="B75" s="14"/>
      <c r="C75" s="22"/>
      <c r="D75" s="179" t="str">
        <f>"RAZEM: "&amp;D42&amp;""</f>
        <v>RAZEM: PODBUDOWY</v>
      </c>
      <c r="E75" s="179"/>
      <c r="F75" s="179"/>
      <c r="G75" s="179"/>
      <c r="H75" s="53" t="e">
        <f>IF(SUM(H72,H68,H60,H53,#REF!,H44)=0," ",SUM(H72,H68,H60,H53,#REF!,H44))</f>
        <v>#REF!</v>
      </c>
    </row>
    <row r="76" spans="1:10" s="82" customFormat="1" ht="30" customHeight="1">
      <c r="A76" s="61" t="s">
        <v>260</v>
      </c>
      <c r="B76" s="61" t="s">
        <v>33</v>
      </c>
      <c r="C76" s="69"/>
      <c r="D76" s="61" t="s">
        <v>34</v>
      </c>
      <c r="E76" s="61" t="s">
        <v>17</v>
      </c>
      <c r="F76" s="54" t="s">
        <v>17</v>
      </c>
      <c r="G76" s="61" t="s">
        <v>17</v>
      </c>
      <c r="H76" s="61" t="s">
        <v>17</v>
      </c>
      <c r="J76" s="90"/>
    </row>
    <row r="77" spans="1:8" ht="30" customHeight="1">
      <c r="A77" s="14" t="s">
        <v>17</v>
      </c>
      <c r="B77" s="14" t="s">
        <v>35</v>
      </c>
      <c r="C77" s="22"/>
      <c r="D77" s="23" t="s">
        <v>36</v>
      </c>
      <c r="E77" s="14" t="s">
        <v>17</v>
      </c>
      <c r="F77" s="28" t="s">
        <v>17</v>
      </c>
      <c r="G77" s="16" t="s">
        <v>17</v>
      </c>
      <c r="H77" s="16" t="s">
        <v>17</v>
      </c>
    </row>
    <row r="78" spans="1:8" ht="30" customHeight="1">
      <c r="A78" s="10">
        <f>A72+1</f>
        <v>14</v>
      </c>
      <c r="B78" s="10" t="s">
        <v>35</v>
      </c>
      <c r="C78" s="24" t="s">
        <v>322</v>
      </c>
      <c r="D78" s="15" t="s">
        <v>341</v>
      </c>
      <c r="E78" s="25" t="s">
        <v>89</v>
      </c>
      <c r="F78" s="11">
        <f>F80</f>
        <v>27.3</v>
      </c>
      <c r="G78" s="16"/>
      <c r="H78" s="16"/>
    </row>
    <row r="79" spans="1:8" ht="30" customHeight="1">
      <c r="A79" s="10"/>
      <c r="B79" s="10"/>
      <c r="C79" s="24"/>
      <c r="D79" s="15" t="s">
        <v>393</v>
      </c>
      <c r="E79" s="10"/>
      <c r="F79" s="11"/>
      <c r="G79" s="16"/>
      <c r="H79" s="16"/>
    </row>
    <row r="80" spans="1:8" ht="30" customHeight="1">
      <c r="A80" s="10"/>
      <c r="B80" s="10"/>
      <c r="C80" s="24"/>
      <c r="D80" s="81">
        <f>TABELE!G28</f>
        <v>27.3</v>
      </c>
      <c r="E80" s="25" t="s">
        <v>89</v>
      </c>
      <c r="F80" s="11">
        <f>TABELE!G28</f>
        <v>27.3</v>
      </c>
      <c r="G80" s="16"/>
      <c r="H80" s="16"/>
    </row>
    <row r="81" spans="1:8" ht="30" customHeight="1">
      <c r="A81" s="10">
        <f>A78+1</f>
        <v>15</v>
      </c>
      <c r="B81" s="10" t="s">
        <v>35</v>
      </c>
      <c r="C81" s="24" t="s">
        <v>342</v>
      </c>
      <c r="D81" s="15" t="s">
        <v>343</v>
      </c>
      <c r="E81" s="25" t="s">
        <v>89</v>
      </c>
      <c r="F81" s="11">
        <f>F83</f>
        <v>65.1</v>
      </c>
      <c r="G81" s="16"/>
      <c r="H81" s="16"/>
    </row>
    <row r="82" spans="1:8" ht="25.5">
      <c r="A82" s="10"/>
      <c r="B82" s="10"/>
      <c r="C82" s="24"/>
      <c r="D82" s="15" t="s">
        <v>345</v>
      </c>
      <c r="E82" s="10"/>
      <c r="F82" s="11"/>
      <c r="G82" s="16"/>
      <c r="H82" s="16"/>
    </row>
    <row r="83" spans="1:8" ht="30" customHeight="1">
      <c r="A83" s="10"/>
      <c r="B83" s="10"/>
      <c r="C83" s="24"/>
      <c r="D83" s="81">
        <f>TABELE!G29</f>
        <v>65.1</v>
      </c>
      <c r="E83" s="25" t="s">
        <v>89</v>
      </c>
      <c r="F83" s="11">
        <f>TABELE!G29</f>
        <v>65.1</v>
      </c>
      <c r="G83" s="16"/>
      <c r="H83" s="16"/>
    </row>
    <row r="84" spans="1:8" ht="30" customHeight="1" hidden="1">
      <c r="A84" s="25"/>
      <c r="B84" s="14"/>
      <c r="C84" s="22"/>
      <c r="D84" s="179" t="str">
        <f>"RAZEM: "&amp;D76&amp;""</f>
        <v>RAZEM: NAWIERZCHNIE</v>
      </c>
      <c r="E84" s="179"/>
      <c r="F84" s="179"/>
      <c r="G84" s="179"/>
      <c r="H84" s="53" t="e">
        <f>IF(SUM(#REF!,#REF!,#REF!,#REF!)=0," ",SUM(#REF!,#REF!,#REF!,#REF!))</f>
        <v>#REF!</v>
      </c>
    </row>
    <row r="85" spans="1:8" ht="30" customHeight="1">
      <c r="A85" s="61" t="s">
        <v>261</v>
      </c>
      <c r="B85" s="61" t="s">
        <v>250</v>
      </c>
      <c r="C85" s="61"/>
      <c r="D85" s="61" t="s">
        <v>251</v>
      </c>
      <c r="E85" s="61" t="s">
        <v>17</v>
      </c>
      <c r="F85" s="54" t="s">
        <v>17</v>
      </c>
      <c r="G85" s="110"/>
      <c r="H85" s="53"/>
    </row>
    <row r="86" spans="1:8" ht="30" customHeight="1">
      <c r="A86" s="14" t="s">
        <v>17</v>
      </c>
      <c r="B86" s="14" t="s">
        <v>252</v>
      </c>
      <c r="C86" s="22"/>
      <c r="D86" s="23" t="s">
        <v>346</v>
      </c>
      <c r="E86" s="14" t="s">
        <v>17</v>
      </c>
      <c r="F86" s="14" t="s">
        <v>17</v>
      </c>
      <c r="G86" s="110"/>
      <c r="H86" s="53"/>
    </row>
    <row r="87" spans="1:8" ht="30" customHeight="1">
      <c r="A87" s="10">
        <f>A81+1</f>
        <v>16</v>
      </c>
      <c r="B87" s="10" t="s">
        <v>252</v>
      </c>
      <c r="C87" s="24" t="s">
        <v>347</v>
      </c>
      <c r="D87" s="15" t="s">
        <v>348</v>
      </c>
      <c r="E87" s="25" t="s">
        <v>89</v>
      </c>
      <c r="F87" s="11">
        <f>F88</f>
        <v>47</v>
      </c>
      <c r="G87" s="110"/>
      <c r="H87" s="53"/>
    </row>
    <row r="88" spans="1:8" ht="30" customHeight="1">
      <c r="A88" s="10"/>
      <c r="B88" s="10"/>
      <c r="C88" s="24"/>
      <c r="D88" s="15" t="str">
        <f>""&amp;TABELE!H67&amp;""</f>
        <v>47</v>
      </c>
      <c r="E88" s="25" t="s">
        <v>89</v>
      </c>
      <c r="F88" s="11">
        <f>TABELE!H67</f>
        <v>47</v>
      </c>
      <c r="G88" s="110"/>
      <c r="H88" s="53"/>
    </row>
    <row r="89" spans="1:8" ht="30" customHeight="1" hidden="1">
      <c r="A89" s="25"/>
      <c r="B89" s="25"/>
      <c r="C89" s="26"/>
      <c r="D89" s="179" t="e">
        <f>"RAZEM: "&amp;#REF!&amp;""</f>
        <v>#REF!</v>
      </c>
      <c r="E89" s="179"/>
      <c r="F89" s="179"/>
      <c r="G89" s="179"/>
      <c r="H89" s="53" t="e">
        <f>IF(SUM(#REF!,#REF!,#REF!)=0," ",SUM(#REF!,#REF!,#REF!))</f>
        <v>#REF!</v>
      </c>
    </row>
    <row r="90" spans="1:8" ht="30" customHeight="1" hidden="1">
      <c r="A90" s="180" t="s">
        <v>37</v>
      </c>
      <c r="B90" s="180"/>
      <c r="C90" s="180"/>
      <c r="D90" s="180"/>
      <c r="E90" s="180"/>
      <c r="F90" s="180"/>
      <c r="G90" s="180"/>
      <c r="H90" s="54" t="e">
        <f>IF(SUM(H89,#REF!,#REF!,H84,H75,H41,H30)=0," ",SUM(H89,#REF!,#REF!,H84,H75,H41,H30))</f>
        <v>#REF!</v>
      </c>
    </row>
    <row r="91" spans="1:8" ht="30" customHeight="1">
      <c r="A91" s="108" t="s">
        <v>223</v>
      </c>
      <c r="B91" s="186" t="s">
        <v>38</v>
      </c>
      <c r="C91" s="186"/>
      <c r="D91" s="186"/>
      <c r="E91" s="186"/>
      <c r="F91" s="186"/>
      <c r="G91" s="186"/>
      <c r="H91" s="187"/>
    </row>
    <row r="92" spans="1:10" ht="30" customHeight="1">
      <c r="A92" s="61" t="s">
        <v>17</v>
      </c>
      <c r="B92" s="61" t="s">
        <v>205</v>
      </c>
      <c r="C92" s="69"/>
      <c r="D92" s="61" t="s">
        <v>206</v>
      </c>
      <c r="E92" s="61" t="s">
        <v>17</v>
      </c>
      <c r="F92" s="61" t="s">
        <v>17</v>
      </c>
      <c r="G92" s="61" t="s">
        <v>17</v>
      </c>
      <c r="H92" s="61" t="s">
        <v>17</v>
      </c>
      <c r="J92" s="17"/>
    </row>
    <row r="93" spans="1:10" ht="30" customHeight="1">
      <c r="A93" s="61" t="s">
        <v>222</v>
      </c>
      <c r="B93" s="61" t="s">
        <v>288</v>
      </c>
      <c r="C93" s="61"/>
      <c r="D93" s="61" t="s">
        <v>207</v>
      </c>
      <c r="E93" s="61" t="s">
        <v>17</v>
      </c>
      <c r="F93" s="54" t="s">
        <v>17</v>
      </c>
      <c r="G93" s="16"/>
      <c r="H93" s="16"/>
      <c r="J93" s="17"/>
    </row>
    <row r="94" spans="1:10" ht="30" customHeight="1">
      <c r="A94" s="14" t="s">
        <v>17</v>
      </c>
      <c r="B94" s="14" t="s">
        <v>323</v>
      </c>
      <c r="C94" s="22"/>
      <c r="D94" s="23" t="s">
        <v>324</v>
      </c>
      <c r="E94" s="14" t="s">
        <v>17</v>
      </c>
      <c r="F94" s="28" t="s">
        <v>17</v>
      </c>
      <c r="G94" s="16"/>
      <c r="H94" s="16"/>
      <c r="J94" s="17"/>
    </row>
    <row r="95" spans="1:10" ht="30" customHeight="1">
      <c r="A95" s="10">
        <f>A87+1</f>
        <v>17</v>
      </c>
      <c r="B95" s="10" t="s">
        <v>323</v>
      </c>
      <c r="C95" s="24" t="s">
        <v>322</v>
      </c>
      <c r="D95" s="135" t="s">
        <v>392</v>
      </c>
      <c r="E95" s="25" t="s">
        <v>90</v>
      </c>
      <c r="F95" s="11">
        <f>F97</f>
        <v>15.879710000000001</v>
      </c>
      <c r="G95" s="16"/>
      <c r="H95" s="16"/>
      <c r="J95" s="17"/>
    </row>
    <row r="96" spans="1:10" ht="12.75">
      <c r="A96" s="14"/>
      <c r="B96" s="10"/>
      <c r="C96" s="136"/>
      <c r="D96" s="135" t="s">
        <v>285</v>
      </c>
      <c r="E96" s="104"/>
      <c r="F96" s="11"/>
      <c r="G96" s="16"/>
      <c r="H96" s="16"/>
      <c r="J96" s="17"/>
    </row>
    <row r="97" spans="1:10" ht="29.25" customHeight="1">
      <c r="A97" s="14"/>
      <c r="B97" s="14"/>
      <c r="C97" s="22"/>
      <c r="D97" s="15" t="s">
        <v>394</v>
      </c>
      <c r="E97" s="25" t="s">
        <v>90</v>
      </c>
      <c r="F97" s="11">
        <f>(1.1*1.4*5.03)*1.025*2</f>
        <v>15.879710000000001</v>
      </c>
      <c r="G97" s="16"/>
      <c r="H97" s="16"/>
      <c r="J97" s="17"/>
    </row>
    <row r="98" spans="1:10" ht="30" customHeight="1">
      <c r="A98" s="10">
        <f>A95+1</f>
        <v>18</v>
      </c>
      <c r="B98" s="10" t="s">
        <v>284</v>
      </c>
      <c r="C98" s="24" t="s">
        <v>319</v>
      </c>
      <c r="D98" s="135" t="s">
        <v>286</v>
      </c>
      <c r="E98" s="25" t="s">
        <v>8</v>
      </c>
      <c r="F98" s="11">
        <f>F100</f>
        <v>1102.8999999999999</v>
      </c>
      <c r="G98" s="16"/>
      <c r="H98" s="16"/>
      <c r="J98" s="17"/>
    </row>
    <row r="99" spans="1:10" ht="30" customHeight="1">
      <c r="A99" s="10"/>
      <c r="B99" s="10"/>
      <c r="C99" s="136"/>
      <c r="D99" s="137" t="s">
        <v>287</v>
      </c>
      <c r="E99" s="25"/>
      <c r="F99" s="105"/>
      <c r="G99" s="16"/>
      <c r="H99" s="16"/>
      <c r="J99" s="17"/>
    </row>
    <row r="100" spans="1:10" ht="30" customHeight="1">
      <c r="A100" s="14"/>
      <c r="B100" s="14"/>
      <c r="C100" s="22"/>
      <c r="D100" s="15" t="s">
        <v>320</v>
      </c>
      <c r="E100" s="25" t="s">
        <v>8</v>
      </c>
      <c r="F100" s="11">
        <f>538*1.025*2</f>
        <v>1102.8999999999999</v>
      </c>
      <c r="G100" s="16"/>
      <c r="H100" s="16"/>
      <c r="J100" s="17"/>
    </row>
    <row r="101" spans="1:10" s="82" customFormat="1" ht="30" customHeight="1">
      <c r="A101" s="61" t="s">
        <v>17</v>
      </c>
      <c r="B101" s="61" t="s">
        <v>130</v>
      </c>
      <c r="C101" s="69"/>
      <c r="D101" s="61" t="s">
        <v>134</v>
      </c>
      <c r="E101" s="61" t="s">
        <v>17</v>
      </c>
      <c r="F101" s="54" t="s">
        <v>17</v>
      </c>
      <c r="G101" s="61"/>
      <c r="H101" s="61"/>
      <c r="J101" s="90"/>
    </row>
    <row r="102" spans="1:10" s="82" customFormat="1" ht="30" customHeight="1">
      <c r="A102" s="61" t="s">
        <v>225</v>
      </c>
      <c r="B102" s="61" t="s">
        <v>350</v>
      </c>
      <c r="C102" s="69"/>
      <c r="D102" s="61" t="s">
        <v>349</v>
      </c>
      <c r="E102" s="61" t="s">
        <v>17</v>
      </c>
      <c r="F102" s="54" t="s">
        <v>17</v>
      </c>
      <c r="G102" s="61"/>
      <c r="H102" s="61"/>
      <c r="J102" s="90"/>
    </row>
    <row r="103" spans="1:10" s="82" customFormat="1" ht="30" customHeight="1">
      <c r="A103" s="14" t="s">
        <v>17</v>
      </c>
      <c r="B103" s="14" t="s">
        <v>283</v>
      </c>
      <c r="C103" s="22"/>
      <c r="D103" s="23" t="s">
        <v>351</v>
      </c>
      <c r="E103" s="14" t="s">
        <v>17</v>
      </c>
      <c r="F103" s="28" t="s">
        <v>17</v>
      </c>
      <c r="G103" s="61"/>
      <c r="H103" s="61"/>
      <c r="J103" s="90"/>
    </row>
    <row r="104" spans="1:8" ht="30" customHeight="1">
      <c r="A104" s="10">
        <f>A98+1</f>
        <v>19</v>
      </c>
      <c r="B104" s="10" t="s">
        <v>283</v>
      </c>
      <c r="C104" s="24" t="s">
        <v>40</v>
      </c>
      <c r="D104" s="135" t="s">
        <v>352</v>
      </c>
      <c r="E104" s="25" t="s">
        <v>90</v>
      </c>
      <c r="F104" s="16">
        <f>F106</f>
        <v>9.508719999999999</v>
      </c>
      <c r="G104" s="16"/>
      <c r="H104" s="16"/>
    </row>
    <row r="105" spans="1:14" ht="25.5">
      <c r="A105" s="10"/>
      <c r="B105" s="10"/>
      <c r="C105" s="136"/>
      <c r="D105" s="135" t="s">
        <v>289</v>
      </c>
      <c r="E105" s="25"/>
      <c r="F105" s="16"/>
      <c r="G105" s="16"/>
      <c r="H105" s="16"/>
      <c r="N105" s="17">
        <v>1.7</v>
      </c>
    </row>
    <row r="106" spans="1:8" ht="30" customHeight="1">
      <c r="A106" s="10"/>
      <c r="B106" s="10"/>
      <c r="C106" s="24"/>
      <c r="D106" s="15" t="s">
        <v>395</v>
      </c>
      <c r="E106" s="25" t="s">
        <v>90</v>
      </c>
      <c r="F106" s="16">
        <f>(1.3*0.8*4.46)*1.025*2</f>
        <v>9.508719999999999</v>
      </c>
      <c r="G106" s="16"/>
      <c r="H106" s="16"/>
    </row>
    <row r="107" spans="1:8" ht="30" customHeight="1">
      <c r="A107" s="10">
        <f>A104+1</f>
        <v>20</v>
      </c>
      <c r="B107" s="10" t="s">
        <v>283</v>
      </c>
      <c r="C107" s="24" t="s">
        <v>319</v>
      </c>
      <c r="D107" s="135" t="s">
        <v>290</v>
      </c>
      <c r="E107" s="25" t="s">
        <v>8</v>
      </c>
      <c r="F107" s="16">
        <f>SUM(F108:F109)</f>
        <v>705.1999999999999</v>
      </c>
      <c r="G107" s="16"/>
      <c r="H107" s="16"/>
    </row>
    <row r="108" spans="1:8" ht="25.5">
      <c r="A108" s="10"/>
      <c r="B108" s="10"/>
      <c r="C108" s="136"/>
      <c r="D108" s="135" t="s">
        <v>291</v>
      </c>
      <c r="E108" s="10"/>
      <c r="F108" s="16"/>
      <c r="G108" s="16"/>
      <c r="H108" s="16"/>
    </row>
    <row r="109" spans="1:11" ht="30" customHeight="1">
      <c r="A109" s="10"/>
      <c r="B109" s="10"/>
      <c r="C109" s="24"/>
      <c r="D109" s="15" t="s">
        <v>321</v>
      </c>
      <c r="E109" s="25" t="s">
        <v>8</v>
      </c>
      <c r="F109" s="16">
        <f>344*1.025*2</f>
        <v>705.1999999999999</v>
      </c>
      <c r="G109" s="16"/>
      <c r="H109" s="16"/>
      <c r="J109" s="90" t="s">
        <v>95</v>
      </c>
      <c r="K109" s="27">
        <v>1000</v>
      </c>
    </row>
    <row r="110" spans="1:11" s="82" customFormat="1" ht="30" customHeight="1">
      <c r="A110" s="61" t="s">
        <v>226</v>
      </c>
      <c r="B110" s="61" t="s">
        <v>66</v>
      </c>
      <c r="C110" s="69"/>
      <c r="D110" s="61" t="s">
        <v>67</v>
      </c>
      <c r="E110" s="61" t="s">
        <v>17</v>
      </c>
      <c r="F110" s="54" t="s">
        <v>17</v>
      </c>
      <c r="G110" s="61" t="s">
        <v>17</v>
      </c>
      <c r="H110" s="61" t="s">
        <v>17</v>
      </c>
      <c r="J110" s="90" t="s">
        <v>142</v>
      </c>
      <c r="K110" s="27">
        <f>ROUND((K112+K113)*1.018,0)</f>
        <v>2741</v>
      </c>
    </row>
    <row r="111" spans="1:11" s="27" customFormat="1" ht="30" customHeight="1">
      <c r="A111" s="61" t="s">
        <v>17</v>
      </c>
      <c r="B111" s="61" t="s">
        <v>135</v>
      </c>
      <c r="C111" s="61"/>
      <c r="D111" s="61" t="s">
        <v>136</v>
      </c>
      <c r="E111" s="61" t="s">
        <v>17</v>
      </c>
      <c r="F111" s="61" t="s">
        <v>17</v>
      </c>
      <c r="G111" s="14" t="s">
        <v>17</v>
      </c>
      <c r="H111" s="14" t="s">
        <v>17</v>
      </c>
      <c r="J111" s="90" t="s">
        <v>143</v>
      </c>
      <c r="K111" s="27">
        <v>93.57</v>
      </c>
    </row>
    <row r="112" spans="1:11" s="27" customFormat="1" ht="30" customHeight="1">
      <c r="A112" s="14" t="s">
        <v>17</v>
      </c>
      <c r="B112" s="14" t="s">
        <v>137</v>
      </c>
      <c r="C112" s="22"/>
      <c r="D112" s="23" t="s">
        <v>353</v>
      </c>
      <c r="E112" s="14" t="s">
        <v>17</v>
      </c>
      <c r="F112" s="28" t="s">
        <v>17</v>
      </c>
      <c r="G112" s="14"/>
      <c r="H112" s="14"/>
      <c r="J112" s="90" t="s">
        <v>144</v>
      </c>
      <c r="K112" s="27">
        <v>409.66</v>
      </c>
    </row>
    <row r="113" spans="1:11" s="27" customFormat="1" ht="25.5">
      <c r="A113" s="10">
        <f>A107+1</f>
        <v>21</v>
      </c>
      <c r="B113" s="10" t="s">
        <v>137</v>
      </c>
      <c r="C113" s="24" t="s">
        <v>141</v>
      </c>
      <c r="D113" s="15" t="s">
        <v>292</v>
      </c>
      <c r="E113" s="25" t="s">
        <v>138</v>
      </c>
      <c r="F113" s="16">
        <f>SUM(F114:F115)</f>
        <v>2.69266</v>
      </c>
      <c r="G113" s="14"/>
      <c r="H113" s="14"/>
      <c r="J113" s="90" t="s">
        <v>145</v>
      </c>
      <c r="K113" s="27">
        <f>4*7.5*76.1</f>
        <v>2283</v>
      </c>
    </row>
    <row r="114" spans="1:11" s="27" customFormat="1" ht="25.5">
      <c r="A114" s="10"/>
      <c r="B114" s="10"/>
      <c r="C114" s="24"/>
      <c r="D114" s="15" t="s">
        <v>293</v>
      </c>
      <c r="E114" s="25"/>
      <c r="F114" s="16"/>
      <c r="G114" s="14"/>
      <c r="H114" s="14"/>
      <c r="J114" s="90" t="s">
        <v>146</v>
      </c>
      <c r="K114" s="27">
        <v>1.018</v>
      </c>
    </row>
    <row r="115" spans="1:8" s="27" customFormat="1" ht="30" customHeight="1">
      <c r="A115" s="10"/>
      <c r="B115" s="10"/>
      <c r="C115" s="24"/>
      <c r="D115" s="15" t="str">
        <f>""&amp;"("&amp;K113&amp;"+"&amp;K112&amp;")/"&amp;K109&amp;""</f>
        <v>(2283+409,66)/1000</v>
      </c>
      <c r="E115" s="25" t="s">
        <v>138</v>
      </c>
      <c r="F115" s="16">
        <f>(K113+K112)/K109</f>
        <v>2.69266</v>
      </c>
      <c r="G115" s="14"/>
      <c r="H115" s="14"/>
    </row>
    <row r="116" spans="1:8" s="27" customFormat="1" ht="30" customHeight="1">
      <c r="A116" s="10">
        <f>A113+1</f>
        <v>22</v>
      </c>
      <c r="B116" s="10" t="s">
        <v>137</v>
      </c>
      <c r="C116" s="24" t="s">
        <v>65</v>
      </c>
      <c r="D116" s="15" t="s">
        <v>294</v>
      </c>
      <c r="E116" s="25" t="s">
        <v>138</v>
      </c>
      <c r="F116" s="16">
        <f>F118</f>
        <v>0.41703388</v>
      </c>
      <c r="G116" s="14"/>
      <c r="H116" s="14"/>
    </row>
    <row r="117" spans="1:8" s="27" customFormat="1" ht="76.5">
      <c r="A117" s="10"/>
      <c r="B117" s="10"/>
      <c r="C117" s="24"/>
      <c r="D117" s="15" t="s">
        <v>170</v>
      </c>
      <c r="E117" s="25"/>
      <c r="F117" s="16"/>
      <c r="G117" s="14"/>
      <c r="H117" s="14"/>
    </row>
    <row r="118" spans="1:10" s="27" customFormat="1" ht="30" customHeight="1">
      <c r="A118" s="10"/>
      <c r="B118" s="10"/>
      <c r="C118" s="24"/>
      <c r="D118" s="15" t="str">
        <f>"("&amp;K112&amp;"x"&amp;K114&amp;")/"&amp;K109&amp;""</f>
        <v>(409,66x1,018)/1000</v>
      </c>
      <c r="E118" s="25" t="s">
        <v>138</v>
      </c>
      <c r="F118" s="16">
        <f>(K112*K114)/K109</f>
        <v>0.41703388</v>
      </c>
      <c r="G118" s="14"/>
      <c r="H118" s="14"/>
      <c r="J118" s="90"/>
    </row>
    <row r="119" spans="1:10" s="27" customFormat="1" ht="25.5">
      <c r="A119" s="10">
        <f>A116+1</f>
        <v>23</v>
      </c>
      <c r="B119" s="10" t="s">
        <v>137</v>
      </c>
      <c r="C119" s="24" t="s">
        <v>65</v>
      </c>
      <c r="D119" s="15" t="s">
        <v>296</v>
      </c>
      <c r="E119" s="25" t="s">
        <v>138</v>
      </c>
      <c r="F119" s="16">
        <f>F121</f>
        <v>2.42</v>
      </c>
      <c r="G119" s="14"/>
      <c r="H119" s="14"/>
      <c r="J119" s="90"/>
    </row>
    <row r="120" spans="1:10" s="27" customFormat="1" ht="25.5">
      <c r="A120" s="10"/>
      <c r="B120" s="10"/>
      <c r="C120" s="24"/>
      <c r="D120" s="15" t="s">
        <v>295</v>
      </c>
      <c r="E120" s="25"/>
      <c r="F120" s="16"/>
      <c r="G120" s="14"/>
      <c r="H120" s="14"/>
      <c r="J120" s="90"/>
    </row>
    <row r="121" spans="1:13" s="27" customFormat="1" ht="30" customHeight="1">
      <c r="A121" s="10"/>
      <c r="B121" s="10"/>
      <c r="C121" s="24"/>
      <c r="D121" s="15" t="str">
        <f>"("&amp;K113&amp;"x"&amp;K114&amp;")/"&amp;K109&amp;"+"&amp;K111&amp;"/"&amp;K109&amp;""</f>
        <v>(2283x1,018)/1000+93,57/1000</v>
      </c>
      <c r="E121" s="25" t="s">
        <v>138</v>
      </c>
      <c r="F121" s="16">
        <f>ROUND(K113*K114/K109+K111/K109,2)</f>
        <v>2.42</v>
      </c>
      <c r="G121" s="14"/>
      <c r="H121" s="14"/>
      <c r="J121" s="91"/>
      <c r="K121" s="84" t="s">
        <v>160</v>
      </c>
      <c r="L121" s="85" t="s">
        <v>133</v>
      </c>
      <c r="M121" s="85" t="s">
        <v>114</v>
      </c>
    </row>
    <row r="122" spans="1:13" s="27" customFormat="1" ht="25.5">
      <c r="A122" s="10">
        <f>A119+1</f>
        <v>24</v>
      </c>
      <c r="B122" s="10" t="s">
        <v>137</v>
      </c>
      <c r="C122" s="24" t="s">
        <v>139</v>
      </c>
      <c r="D122" s="15" t="s">
        <v>140</v>
      </c>
      <c r="E122" s="25" t="s">
        <v>89</v>
      </c>
      <c r="F122" s="16">
        <f>SUM(F124:F124)</f>
        <v>39</v>
      </c>
      <c r="G122" s="14"/>
      <c r="H122" s="14"/>
      <c r="J122" s="90" t="s">
        <v>354</v>
      </c>
      <c r="K122" s="27">
        <v>1.067</v>
      </c>
      <c r="L122" s="27">
        <v>4</v>
      </c>
      <c r="M122" s="27">
        <v>6.5</v>
      </c>
    </row>
    <row r="123" spans="1:13" s="27" customFormat="1" ht="127.5">
      <c r="A123" s="10"/>
      <c r="B123" s="10"/>
      <c r="C123" s="24"/>
      <c r="D123" s="15" t="s">
        <v>356</v>
      </c>
      <c r="E123" s="25"/>
      <c r="F123" s="16"/>
      <c r="G123" s="14"/>
      <c r="H123" s="14"/>
      <c r="J123" s="90" t="s">
        <v>355</v>
      </c>
      <c r="K123" s="27">
        <v>1.12</v>
      </c>
      <c r="L123" s="27">
        <f>3*3</f>
        <v>9</v>
      </c>
      <c r="M123" s="27">
        <v>1.15</v>
      </c>
    </row>
    <row r="124" spans="1:10" s="27" customFormat="1" ht="30" customHeight="1">
      <c r="A124" s="10"/>
      <c r="B124" s="10"/>
      <c r="C124" s="24"/>
      <c r="D124" s="15" t="str">
        <f>""&amp;K122&amp;"x"&amp;L122&amp;"x"&amp;M122&amp;"+"&amp;K123&amp;"x"&amp;L123&amp;"x"&amp;M123&amp;""</f>
        <v>1,067x4x6,5+1,12x9x1,15</v>
      </c>
      <c r="E124" s="25" t="s">
        <v>89</v>
      </c>
      <c r="F124" s="16">
        <f>ROUND(K122*L122*M122+K123*L123*M123,0)</f>
        <v>39</v>
      </c>
      <c r="G124" s="14"/>
      <c r="H124" s="14"/>
      <c r="J124" s="90"/>
    </row>
    <row r="125" spans="1:10" s="82" customFormat="1" ht="30" customHeight="1">
      <c r="A125" s="61" t="s">
        <v>227</v>
      </c>
      <c r="B125" s="61" t="s">
        <v>147</v>
      </c>
      <c r="C125" s="69"/>
      <c r="D125" s="61" t="s">
        <v>148</v>
      </c>
      <c r="E125" s="61" t="s">
        <v>17</v>
      </c>
      <c r="F125" s="54" t="s">
        <v>17</v>
      </c>
      <c r="G125" s="61"/>
      <c r="H125" s="61"/>
      <c r="J125" s="90"/>
    </row>
    <row r="126" spans="1:10" s="27" customFormat="1" ht="25.5">
      <c r="A126" s="14" t="s">
        <v>17</v>
      </c>
      <c r="B126" s="14" t="s">
        <v>149</v>
      </c>
      <c r="C126" s="22"/>
      <c r="D126" s="23" t="s">
        <v>357</v>
      </c>
      <c r="E126" s="14" t="s">
        <v>17</v>
      </c>
      <c r="F126" s="28" t="s">
        <v>17</v>
      </c>
      <c r="G126" s="14"/>
      <c r="H126" s="14"/>
      <c r="J126" s="90"/>
    </row>
    <row r="127" spans="1:12" s="27" customFormat="1" ht="25.5">
      <c r="A127" s="10">
        <f>A122+1</f>
        <v>25</v>
      </c>
      <c r="B127" s="10" t="s">
        <v>149</v>
      </c>
      <c r="C127" s="24" t="s">
        <v>79</v>
      </c>
      <c r="D127" s="15" t="s">
        <v>150</v>
      </c>
      <c r="E127" s="25" t="s">
        <v>90</v>
      </c>
      <c r="F127" s="16">
        <f>SUM(F129)</f>
        <v>9.1</v>
      </c>
      <c r="G127" s="14"/>
      <c r="H127" s="14"/>
      <c r="J127" s="90" t="s">
        <v>248</v>
      </c>
      <c r="K127" s="27">
        <v>0.92</v>
      </c>
      <c r="L127" s="27" t="s">
        <v>249</v>
      </c>
    </row>
    <row r="128" spans="1:12" s="27" customFormat="1" ht="30" customHeight="1">
      <c r="A128" s="10"/>
      <c r="B128" s="10"/>
      <c r="C128" s="24"/>
      <c r="D128" s="15" t="s">
        <v>208</v>
      </c>
      <c r="E128" s="25"/>
      <c r="F128" s="16"/>
      <c r="G128" s="14"/>
      <c r="H128" s="14"/>
      <c r="J128" s="90" t="s">
        <v>116</v>
      </c>
      <c r="K128" s="27">
        <v>7.8</v>
      </c>
      <c r="L128" s="27" t="s">
        <v>249</v>
      </c>
    </row>
    <row r="129" spans="1:10" s="27" customFormat="1" ht="30" customHeight="1">
      <c r="A129" s="10"/>
      <c r="B129" s="10"/>
      <c r="C129" s="24"/>
      <c r="D129" s="15">
        <v>9.1</v>
      </c>
      <c r="E129" s="25" t="s">
        <v>90</v>
      </c>
      <c r="F129" s="16">
        <v>9.1</v>
      </c>
      <c r="G129" s="14"/>
      <c r="H129" s="14"/>
      <c r="J129" s="90"/>
    </row>
    <row r="130" spans="1:11" s="27" customFormat="1" ht="30" customHeight="1">
      <c r="A130" s="10">
        <f>A127+1</f>
        <v>26</v>
      </c>
      <c r="B130" s="10" t="s">
        <v>149</v>
      </c>
      <c r="C130" s="24" t="s">
        <v>319</v>
      </c>
      <c r="D130" s="15" t="s">
        <v>358</v>
      </c>
      <c r="E130" s="25" t="s">
        <v>8</v>
      </c>
      <c r="F130" s="16">
        <f>F132</f>
        <v>1548</v>
      </c>
      <c r="G130" s="14"/>
      <c r="H130" s="14"/>
      <c r="J130" s="90" t="s">
        <v>123</v>
      </c>
      <c r="K130" s="27">
        <v>1525</v>
      </c>
    </row>
    <row r="131" spans="1:11" s="27" customFormat="1" ht="25.5">
      <c r="A131" s="10"/>
      <c r="B131" s="10"/>
      <c r="C131" s="24"/>
      <c r="D131" s="15" t="s">
        <v>297</v>
      </c>
      <c r="E131" s="25"/>
      <c r="F131" s="16"/>
      <c r="G131" s="14"/>
      <c r="H131" s="14"/>
      <c r="J131" s="90" t="s">
        <v>131</v>
      </c>
      <c r="K131" s="27">
        <v>1.015</v>
      </c>
    </row>
    <row r="132" spans="1:10" s="27" customFormat="1" ht="30" customHeight="1">
      <c r="A132" s="14"/>
      <c r="B132" s="14"/>
      <c r="C132" s="22"/>
      <c r="D132" s="15" t="str">
        <f>""&amp;K130&amp;"x"&amp;K131&amp;""</f>
        <v>1525x1,015</v>
      </c>
      <c r="E132" s="25" t="s">
        <v>8</v>
      </c>
      <c r="F132" s="16">
        <f>ROUND(K130*K131,0)</f>
        <v>1548</v>
      </c>
      <c r="G132" s="14"/>
      <c r="H132" s="14"/>
      <c r="J132" s="90"/>
    </row>
    <row r="133" spans="1:11" s="27" customFormat="1" ht="30" customHeight="1" hidden="1">
      <c r="A133" s="25"/>
      <c r="B133" s="25"/>
      <c r="C133" s="26"/>
      <c r="D133" s="179" t="str">
        <f>"RAZEM: "&amp;D110&amp;""</f>
        <v>RAZEM: USTROJE NOŚNE</v>
      </c>
      <c r="E133" s="179"/>
      <c r="F133" s="179"/>
      <c r="G133" s="179"/>
      <c r="H133" s="53" t="e">
        <f>IF(SUM(#REF!,#REF!,#REF!)=0," ",SUM(#REF!,#REF!,#REF!))</f>
        <v>#REF!</v>
      </c>
      <c r="J133" s="90" t="s">
        <v>126</v>
      </c>
      <c r="K133" s="27">
        <v>1.1</v>
      </c>
    </row>
    <row r="134" spans="1:10" s="27" customFormat="1" ht="30" customHeight="1" hidden="1">
      <c r="A134" s="25"/>
      <c r="B134" s="30"/>
      <c r="C134" s="31"/>
      <c r="D134" s="179" t="e">
        <f>"RAZEM: "&amp;#REF!&amp;""</f>
        <v>#REF!</v>
      </c>
      <c r="E134" s="179"/>
      <c r="F134" s="179"/>
      <c r="G134" s="179"/>
      <c r="H134" s="53" t="e">
        <f>IF(SUM(#REF!,#REF!,#REF!)=0," ",SUM(#REF!,#REF!,#REF!))</f>
        <v>#REF!</v>
      </c>
      <c r="J134" s="90"/>
    </row>
    <row r="135" spans="1:10" s="27" customFormat="1" ht="30" customHeight="1" hidden="1">
      <c r="A135" s="25"/>
      <c r="B135" s="30"/>
      <c r="C135" s="31"/>
      <c r="D135" s="179" t="e">
        <f>"RAZEM: "&amp;#REF!&amp;""</f>
        <v>#REF!</v>
      </c>
      <c r="E135" s="179"/>
      <c r="F135" s="179"/>
      <c r="G135" s="179"/>
      <c r="H135" s="53" t="e">
        <f>IF(SUM(#REF!,#REF!,#REF!,#REF!,#REF!)=0," ",SUM(#REF!,#REF!,#REF!,#REF!,#REF!))</f>
        <v>#REF!</v>
      </c>
      <c r="J135" s="90"/>
    </row>
    <row r="136" spans="1:10" s="27" customFormat="1" ht="30" customHeight="1" hidden="1">
      <c r="A136" s="25"/>
      <c r="B136" s="30"/>
      <c r="C136" s="31"/>
      <c r="D136" s="179" t="e">
        <f>"RAZEM: "&amp;#REF!&amp;""</f>
        <v>#REF!</v>
      </c>
      <c r="E136" s="179"/>
      <c r="F136" s="179"/>
      <c r="G136" s="179"/>
      <c r="H136" s="53" t="e">
        <f>IF(SUM(#REF!,#REF!)=0," ",SUM(#REF!,#REF!))</f>
        <v>#REF!</v>
      </c>
      <c r="J136" s="90"/>
    </row>
    <row r="137" spans="1:10" s="27" customFormat="1" ht="30" customHeight="1" hidden="1">
      <c r="A137" s="25"/>
      <c r="B137" s="30"/>
      <c r="C137" s="31"/>
      <c r="D137" s="179" t="e">
        <f>"RAZEM: "&amp;#REF!&amp;""</f>
        <v>#REF!</v>
      </c>
      <c r="E137" s="179"/>
      <c r="F137" s="179"/>
      <c r="G137" s="179"/>
      <c r="H137" s="53" t="e">
        <f>IF(SUM(#REF!)=0," ",SUM(#REF!))</f>
        <v>#REF!</v>
      </c>
      <c r="J137" s="90"/>
    </row>
    <row r="138" spans="1:11" s="82" customFormat="1" ht="30" customHeight="1">
      <c r="A138" s="61" t="s">
        <v>228</v>
      </c>
      <c r="B138" s="61" t="s">
        <v>80</v>
      </c>
      <c r="C138" s="69"/>
      <c r="D138" s="61" t="s">
        <v>81</v>
      </c>
      <c r="E138" s="61" t="s">
        <v>17</v>
      </c>
      <c r="F138" s="54" t="s">
        <v>17</v>
      </c>
      <c r="G138" s="61" t="s">
        <v>17</v>
      </c>
      <c r="H138" s="61" t="s">
        <v>17</v>
      </c>
      <c r="J138" s="90"/>
      <c r="K138" s="27"/>
    </row>
    <row r="139" spans="1:10" s="27" customFormat="1" ht="30" customHeight="1">
      <c r="A139" s="14" t="s">
        <v>17</v>
      </c>
      <c r="B139" s="14" t="s">
        <v>359</v>
      </c>
      <c r="C139" s="22"/>
      <c r="D139" s="23" t="s">
        <v>360</v>
      </c>
      <c r="E139" s="14" t="s">
        <v>17</v>
      </c>
      <c r="F139" s="28" t="s">
        <v>17</v>
      </c>
      <c r="G139" s="16" t="s">
        <v>17</v>
      </c>
      <c r="H139" s="16" t="s">
        <v>17</v>
      </c>
      <c r="J139" s="90"/>
    </row>
    <row r="140" spans="1:11" s="27" customFormat="1" ht="30" customHeight="1">
      <c r="A140" s="10">
        <f>A130+1</f>
        <v>27</v>
      </c>
      <c r="B140" s="10" t="s">
        <v>359</v>
      </c>
      <c r="C140" s="24" t="s">
        <v>40</v>
      </c>
      <c r="D140" s="15" t="s">
        <v>361</v>
      </c>
      <c r="E140" s="25" t="s">
        <v>6</v>
      </c>
      <c r="F140" s="16">
        <f>F142</f>
        <v>6</v>
      </c>
      <c r="G140" s="16">
        <v>2500</v>
      </c>
      <c r="H140" s="16">
        <f>IF(ROUND(F140*G140,2)=0," ",ROUND(F140*G140,2))</f>
        <v>15000</v>
      </c>
      <c r="J140" s="90" t="s">
        <v>120</v>
      </c>
      <c r="K140" s="27">
        <v>3</v>
      </c>
    </row>
    <row r="141" spans="1:11" s="27" customFormat="1" ht="30" customHeight="1">
      <c r="A141" s="10"/>
      <c r="B141" s="10"/>
      <c r="C141" s="24"/>
      <c r="D141" s="15" t="s">
        <v>151</v>
      </c>
      <c r="E141" s="25"/>
      <c r="F141" s="16"/>
      <c r="G141" s="16"/>
      <c r="H141" s="16"/>
      <c r="J141" s="90" t="str">
        <f>J147</f>
        <v>mnożnik</v>
      </c>
      <c r="K141" s="27">
        <v>2</v>
      </c>
    </row>
    <row r="142" spans="1:10" s="27" customFormat="1" ht="30" customHeight="1">
      <c r="A142" s="25"/>
      <c r="B142" s="10"/>
      <c r="C142" s="24"/>
      <c r="D142" s="15" t="str">
        <f>""&amp;K140&amp;"x"&amp;K141&amp;""</f>
        <v>3x2</v>
      </c>
      <c r="E142" s="25" t="s">
        <v>6</v>
      </c>
      <c r="F142" s="16">
        <f>K140*K141</f>
        <v>6</v>
      </c>
      <c r="G142" s="16"/>
      <c r="H142" s="16"/>
      <c r="J142" s="90"/>
    </row>
    <row r="143" spans="1:10" s="27" customFormat="1" ht="30" customHeight="1" hidden="1">
      <c r="A143" s="25"/>
      <c r="B143" s="30"/>
      <c r="C143" s="31"/>
      <c r="D143" s="179" t="str">
        <f>"RAZEM: "&amp;D138&amp;""</f>
        <v>RAZEM: URZĄDZENIA DYLATACYJNE</v>
      </c>
      <c r="E143" s="179"/>
      <c r="F143" s="179"/>
      <c r="G143" s="179"/>
      <c r="H143" s="53">
        <f>IF(SUM(H140)=0," ",SUM(H140))</f>
        <v>15000</v>
      </c>
      <c r="J143" s="90"/>
    </row>
    <row r="144" spans="1:10" s="82" customFormat="1" ht="30" customHeight="1">
      <c r="A144" s="61" t="s">
        <v>229</v>
      </c>
      <c r="B144" s="61" t="s">
        <v>70</v>
      </c>
      <c r="C144" s="69"/>
      <c r="D144" s="61" t="s">
        <v>71</v>
      </c>
      <c r="E144" s="61" t="s">
        <v>17</v>
      </c>
      <c r="F144" s="54" t="s">
        <v>17</v>
      </c>
      <c r="G144" s="61" t="s">
        <v>17</v>
      </c>
      <c r="H144" s="61" t="s">
        <v>17</v>
      </c>
      <c r="J144" s="90"/>
    </row>
    <row r="145" spans="1:10" s="27" customFormat="1" ht="30" customHeight="1">
      <c r="A145" s="14" t="s">
        <v>17</v>
      </c>
      <c r="B145" s="14" t="s">
        <v>72</v>
      </c>
      <c r="C145" s="22"/>
      <c r="D145" s="23" t="s">
        <v>73</v>
      </c>
      <c r="E145" s="14" t="s">
        <v>17</v>
      </c>
      <c r="F145" s="28" t="s">
        <v>17</v>
      </c>
      <c r="G145" s="14" t="s">
        <v>17</v>
      </c>
      <c r="H145" s="14" t="s">
        <v>17</v>
      </c>
      <c r="J145" s="90"/>
    </row>
    <row r="146" spans="1:11" s="27" customFormat="1" ht="30" customHeight="1">
      <c r="A146" s="25">
        <f>A140+1</f>
        <v>28</v>
      </c>
      <c r="B146" s="10" t="s">
        <v>72</v>
      </c>
      <c r="C146" s="24" t="s">
        <v>55</v>
      </c>
      <c r="D146" s="29" t="s">
        <v>167</v>
      </c>
      <c r="E146" s="25" t="s">
        <v>63</v>
      </c>
      <c r="F146" s="16">
        <f>F147</f>
        <v>2</v>
      </c>
      <c r="G146" s="16">
        <v>200</v>
      </c>
      <c r="H146" s="16">
        <f>IF(ROUND(F146*G146,2)=0," ",ROUND(F146*G146,2))</f>
        <v>400</v>
      </c>
      <c r="J146" s="90" t="s">
        <v>119</v>
      </c>
      <c r="K146" s="27">
        <v>1</v>
      </c>
    </row>
    <row r="147" spans="1:11" s="27" customFormat="1" ht="30" customHeight="1">
      <c r="A147" s="25"/>
      <c r="B147" s="10"/>
      <c r="C147" s="24"/>
      <c r="D147" s="15" t="str">
        <f>""&amp;K146&amp;"x"&amp;K147&amp;""</f>
        <v>1x2</v>
      </c>
      <c r="E147" s="25" t="s">
        <v>63</v>
      </c>
      <c r="F147" s="16">
        <f>K146*K147</f>
        <v>2</v>
      </c>
      <c r="G147" s="16"/>
      <c r="H147" s="16"/>
      <c r="J147" s="90" t="s">
        <v>118</v>
      </c>
      <c r="K147" s="27">
        <v>2</v>
      </c>
    </row>
    <row r="148" spans="1:11" s="27" customFormat="1" ht="30" customHeight="1">
      <c r="A148" s="14" t="s">
        <v>17</v>
      </c>
      <c r="B148" s="14" t="s">
        <v>74</v>
      </c>
      <c r="C148" s="22"/>
      <c r="D148" s="23" t="s">
        <v>362</v>
      </c>
      <c r="E148" s="14" t="s">
        <v>17</v>
      </c>
      <c r="F148" s="28" t="s">
        <v>17</v>
      </c>
      <c r="G148" s="14" t="s">
        <v>17</v>
      </c>
      <c r="H148" s="14" t="s">
        <v>17</v>
      </c>
      <c r="J148" s="90" t="s">
        <v>117</v>
      </c>
      <c r="K148" s="27">
        <v>7.8</v>
      </c>
    </row>
    <row r="149" spans="1:11" s="27" customFormat="1" ht="30" customHeight="1">
      <c r="A149" s="25">
        <f>A146+1</f>
        <v>29</v>
      </c>
      <c r="B149" s="10" t="s">
        <v>74</v>
      </c>
      <c r="C149" s="24" t="s">
        <v>40</v>
      </c>
      <c r="D149" s="29" t="s">
        <v>363</v>
      </c>
      <c r="E149" s="25" t="s">
        <v>6</v>
      </c>
      <c r="F149" s="16">
        <f>F151</f>
        <v>7.8</v>
      </c>
      <c r="G149" s="16">
        <v>60</v>
      </c>
      <c r="H149" s="16">
        <f>IF(ROUND(F149*G149,2)=0," ",ROUND(F149*G149,2))</f>
        <v>468</v>
      </c>
      <c r="J149" s="90" t="s">
        <v>168</v>
      </c>
      <c r="K149" s="27">
        <v>1</v>
      </c>
    </row>
    <row r="150" spans="1:10" s="27" customFormat="1" ht="30" customHeight="1">
      <c r="A150" s="25"/>
      <c r="B150" s="10"/>
      <c r="C150" s="24"/>
      <c r="D150" s="29" t="s">
        <v>169</v>
      </c>
      <c r="E150" s="25"/>
      <c r="F150" s="16"/>
      <c r="G150" s="16"/>
      <c r="H150" s="16"/>
      <c r="J150" s="90"/>
    </row>
    <row r="151" spans="1:10" s="27" customFormat="1" ht="30" customHeight="1">
      <c r="A151" s="25"/>
      <c r="B151" s="10"/>
      <c r="C151" s="24"/>
      <c r="D151" s="15" t="str">
        <f>""&amp;K148&amp;"x"&amp;K149&amp;""</f>
        <v>7,8x1</v>
      </c>
      <c r="E151" s="25" t="s">
        <v>6</v>
      </c>
      <c r="F151" s="16">
        <f>K148*K149</f>
        <v>7.8</v>
      </c>
      <c r="G151" s="16"/>
      <c r="H151" s="16"/>
      <c r="J151" s="92"/>
    </row>
    <row r="152" spans="1:11" s="27" customFormat="1" ht="30" customHeight="1" hidden="1">
      <c r="A152" s="25"/>
      <c r="B152" s="30"/>
      <c r="C152" s="31"/>
      <c r="D152" s="179" t="str">
        <f>"RAZEM: "&amp;D144&amp;""</f>
        <v>RAZEM: ODWODNIENIE</v>
      </c>
      <c r="E152" s="179"/>
      <c r="F152" s="179"/>
      <c r="G152" s="179"/>
      <c r="H152" s="53" t="e">
        <f>IF(SUM(#REF!,H149,H146,#REF!,#REF!)=0," ",SUM(#REF!,H149,H146,#REF!,#REF!))</f>
        <v>#REF!</v>
      </c>
      <c r="J152" s="90" t="s">
        <v>124</v>
      </c>
      <c r="K152" s="27">
        <v>4</v>
      </c>
    </row>
    <row r="153" spans="1:11" s="82" customFormat="1" ht="30" customHeight="1">
      <c r="A153" s="61" t="s">
        <v>253</v>
      </c>
      <c r="B153" s="61" t="s">
        <v>49</v>
      </c>
      <c r="C153" s="69"/>
      <c r="D153" s="61" t="s">
        <v>50</v>
      </c>
      <c r="E153" s="61" t="s">
        <v>17</v>
      </c>
      <c r="F153" s="54" t="s">
        <v>17</v>
      </c>
      <c r="G153" s="61" t="s">
        <v>17</v>
      </c>
      <c r="H153" s="61" t="s">
        <v>17</v>
      </c>
      <c r="J153" s="90" t="s">
        <v>118</v>
      </c>
      <c r="K153" s="82">
        <v>2</v>
      </c>
    </row>
    <row r="154" spans="1:10" s="27" customFormat="1" ht="30" customHeight="1">
      <c r="A154" s="14" t="s">
        <v>17</v>
      </c>
      <c r="B154" s="14" t="s">
        <v>51</v>
      </c>
      <c r="C154" s="22"/>
      <c r="D154" s="23" t="s">
        <v>52</v>
      </c>
      <c r="E154" s="14" t="s">
        <v>17</v>
      </c>
      <c r="F154" s="28" t="s">
        <v>17</v>
      </c>
      <c r="G154" s="14" t="s">
        <v>17</v>
      </c>
      <c r="H154" s="14" t="s">
        <v>17</v>
      </c>
      <c r="J154" s="90"/>
    </row>
    <row r="155" spans="1:11" s="27" customFormat="1" ht="30" customHeight="1">
      <c r="A155" s="14" t="s">
        <v>17</v>
      </c>
      <c r="B155" s="14" t="s">
        <v>53</v>
      </c>
      <c r="C155" s="22"/>
      <c r="D155" s="23" t="s">
        <v>54</v>
      </c>
      <c r="E155" s="14" t="s">
        <v>17</v>
      </c>
      <c r="F155" s="28" t="s">
        <v>17</v>
      </c>
      <c r="G155" s="14" t="s">
        <v>17</v>
      </c>
      <c r="H155" s="14" t="s">
        <v>17</v>
      </c>
      <c r="J155" s="90" t="s">
        <v>366</v>
      </c>
      <c r="K155" s="27">
        <v>17.7</v>
      </c>
    </row>
    <row r="156" spans="1:12" s="27" customFormat="1" ht="30" customHeight="1">
      <c r="A156" s="25">
        <f>A149+1</f>
        <v>30</v>
      </c>
      <c r="B156" s="10" t="s">
        <v>53</v>
      </c>
      <c r="C156" s="24" t="s">
        <v>64</v>
      </c>
      <c r="D156" s="29" t="s">
        <v>364</v>
      </c>
      <c r="E156" s="25" t="s">
        <v>89</v>
      </c>
      <c r="F156" s="16">
        <f>F158</f>
        <v>53</v>
      </c>
      <c r="G156" s="16">
        <v>30</v>
      </c>
      <c r="H156" s="16">
        <f>IF(ROUND(F156*G156,2)=0," ",ROUND(F156*G156,2))</f>
        <v>1590</v>
      </c>
      <c r="J156" s="90" t="s">
        <v>181</v>
      </c>
      <c r="K156" s="27">
        <v>8.8</v>
      </c>
      <c r="L156" s="17"/>
    </row>
    <row r="157" spans="1:10" s="27" customFormat="1" ht="38.25">
      <c r="A157" s="25"/>
      <c r="B157" s="10"/>
      <c r="C157" s="24"/>
      <c r="D157" s="29" t="s">
        <v>365</v>
      </c>
      <c r="E157" s="25"/>
      <c r="F157" s="16"/>
      <c r="G157" s="16"/>
      <c r="H157" s="16"/>
      <c r="J157" s="90"/>
    </row>
    <row r="158" spans="1:12" s="27" customFormat="1" ht="30" customHeight="1">
      <c r="A158" s="25"/>
      <c r="B158" s="10"/>
      <c r="C158" s="24"/>
      <c r="D158" s="15" t="str">
        <f>"("&amp;K155&amp;"+"&amp;K156&amp;")x"&amp;K153&amp;""</f>
        <v>(17,7+8,8)x2</v>
      </c>
      <c r="E158" s="25" t="s">
        <v>89</v>
      </c>
      <c r="F158" s="16">
        <f>CEILING((K156+K155)*K153,0.5)</f>
        <v>53</v>
      </c>
      <c r="G158" s="16"/>
      <c r="H158" s="16"/>
      <c r="J158" s="90"/>
      <c r="L158" s="17"/>
    </row>
    <row r="159" spans="1:11" s="27" customFormat="1" ht="30" customHeight="1">
      <c r="A159" s="14" t="s">
        <v>17</v>
      </c>
      <c r="B159" s="14" t="s">
        <v>369</v>
      </c>
      <c r="C159" s="22"/>
      <c r="D159" s="23" t="s">
        <v>68</v>
      </c>
      <c r="E159" s="14" t="s">
        <v>17</v>
      </c>
      <c r="F159" s="28" t="s">
        <v>17</v>
      </c>
      <c r="G159" s="14" t="s">
        <v>17</v>
      </c>
      <c r="H159" s="14" t="s">
        <v>17</v>
      </c>
      <c r="J159" s="90" t="s">
        <v>115</v>
      </c>
      <c r="K159" s="27">
        <v>3.5</v>
      </c>
    </row>
    <row r="160" spans="1:10" s="27" customFormat="1" ht="30" customHeight="1">
      <c r="A160" s="14" t="s">
        <v>17</v>
      </c>
      <c r="B160" s="14" t="s">
        <v>69</v>
      </c>
      <c r="C160" s="22"/>
      <c r="D160" s="23" t="s">
        <v>370</v>
      </c>
      <c r="E160" s="14" t="s">
        <v>17</v>
      </c>
      <c r="F160" s="28" t="s">
        <v>17</v>
      </c>
      <c r="G160" s="14"/>
      <c r="H160" s="14"/>
      <c r="J160" s="90"/>
    </row>
    <row r="161" spans="1:11" s="27" customFormat="1" ht="30" customHeight="1">
      <c r="A161" s="10">
        <f>A156+1</f>
        <v>31</v>
      </c>
      <c r="B161" s="10" t="s">
        <v>69</v>
      </c>
      <c r="C161" s="24" t="s">
        <v>40</v>
      </c>
      <c r="D161" s="15" t="s">
        <v>371</v>
      </c>
      <c r="E161" s="25" t="s">
        <v>89</v>
      </c>
      <c r="F161" s="16">
        <f>F163</f>
        <v>36.3</v>
      </c>
      <c r="G161" s="16">
        <v>60</v>
      </c>
      <c r="H161" s="16">
        <f>IF(ROUND(F161*G161,2)=0," ",ROUND(F161*G161,2))</f>
        <v>2178</v>
      </c>
      <c r="J161" s="90" t="s">
        <v>116</v>
      </c>
      <c r="K161" s="27">
        <v>7.8</v>
      </c>
    </row>
    <row r="162" spans="1:11" s="27" customFormat="1" ht="51">
      <c r="A162" s="10"/>
      <c r="B162" s="10"/>
      <c r="C162" s="24"/>
      <c r="D162" s="15" t="s">
        <v>367</v>
      </c>
      <c r="E162" s="25"/>
      <c r="F162" s="16"/>
      <c r="G162" s="16"/>
      <c r="H162" s="16"/>
      <c r="J162" s="90" t="s">
        <v>368</v>
      </c>
      <c r="K162" s="27">
        <v>4.5</v>
      </c>
    </row>
    <row r="163" spans="1:11" s="27" customFormat="1" ht="30" customHeight="1">
      <c r="A163" s="10"/>
      <c r="B163" s="10"/>
      <c r="C163" s="24"/>
      <c r="D163" s="15" t="str">
        <f>""&amp;K161&amp;"x"&amp;K159&amp;"+"&amp;K162&amp;"x"&amp;K163&amp;""</f>
        <v>7,8x3,5+4,5x2</v>
      </c>
      <c r="E163" s="25" t="s">
        <v>89</v>
      </c>
      <c r="F163" s="16">
        <f>K159*K161+K162*K163</f>
        <v>36.3</v>
      </c>
      <c r="G163" s="16"/>
      <c r="H163" s="16"/>
      <c r="J163" s="90" t="s">
        <v>113</v>
      </c>
      <c r="K163" s="27">
        <v>2</v>
      </c>
    </row>
    <row r="164" spans="1:10" s="27" customFormat="1" ht="30" customHeight="1" hidden="1">
      <c r="A164" s="25"/>
      <c r="B164" s="30"/>
      <c r="C164" s="31"/>
      <c r="D164" s="179" t="str">
        <f>"RAZEM: "&amp;D153&amp;""</f>
        <v>RAZEM: HYDROIZOLACJA</v>
      </c>
      <c r="E164" s="179"/>
      <c r="F164" s="179"/>
      <c r="G164" s="179"/>
      <c r="H164" s="53" t="e">
        <f>IF(SUM(H156,H161,#REF!)=0," ",SUM(H156,H161,#REF!))</f>
        <v>#REF!</v>
      </c>
      <c r="J164" s="90"/>
    </row>
    <row r="165" spans="1:10" s="82" customFormat="1" ht="30" customHeight="1">
      <c r="A165" s="61" t="s">
        <v>262</v>
      </c>
      <c r="B165" s="61" t="s">
        <v>48</v>
      </c>
      <c r="C165" s="69"/>
      <c r="D165" s="61" t="s">
        <v>82</v>
      </c>
      <c r="E165" s="61" t="s">
        <v>17</v>
      </c>
      <c r="F165" s="54" t="s">
        <v>17</v>
      </c>
      <c r="G165" s="61" t="s">
        <v>17</v>
      </c>
      <c r="H165" s="61" t="s">
        <v>17</v>
      </c>
      <c r="J165" s="90"/>
    </row>
    <row r="166" spans="1:10" s="27" customFormat="1" ht="30" customHeight="1">
      <c r="A166" s="14" t="s">
        <v>17</v>
      </c>
      <c r="B166" s="14" t="s">
        <v>298</v>
      </c>
      <c r="C166" s="22"/>
      <c r="D166" s="138" t="s">
        <v>300</v>
      </c>
      <c r="E166" s="14" t="s">
        <v>17</v>
      </c>
      <c r="F166" s="28" t="s">
        <v>17</v>
      </c>
      <c r="G166" s="14" t="s">
        <v>17</v>
      </c>
      <c r="H166" s="14" t="s">
        <v>17</v>
      </c>
      <c r="J166" s="90"/>
    </row>
    <row r="167" spans="1:11" s="27" customFormat="1" ht="30" customHeight="1">
      <c r="A167" s="25">
        <f>A161+1</f>
        <v>32</v>
      </c>
      <c r="B167" s="10" t="s">
        <v>298</v>
      </c>
      <c r="C167" s="24" t="s">
        <v>55</v>
      </c>
      <c r="D167" s="29" t="s">
        <v>299</v>
      </c>
      <c r="E167" s="25" t="s">
        <v>6</v>
      </c>
      <c r="F167" s="16">
        <f>SUM(F169:F169)</f>
        <v>15.8</v>
      </c>
      <c r="G167" s="16">
        <v>821.21</v>
      </c>
      <c r="H167" s="16">
        <f>IF(ROUND(F167*G167,2)=0," ",ROUND(F167*G167,2))</f>
        <v>12975.12</v>
      </c>
      <c r="J167" s="90" t="s">
        <v>309</v>
      </c>
      <c r="K167" s="27">
        <v>7.9</v>
      </c>
    </row>
    <row r="168" spans="1:11" s="27" customFormat="1" ht="25.5">
      <c r="A168" s="25"/>
      <c r="B168" s="10"/>
      <c r="C168" s="24"/>
      <c r="D168" s="29" t="s">
        <v>378</v>
      </c>
      <c r="E168" s="25"/>
      <c r="F168" s="16"/>
      <c r="G168" s="16"/>
      <c r="H168" s="16"/>
      <c r="J168" s="90" t="s">
        <v>133</v>
      </c>
      <c r="K168" s="27">
        <v>2</v>
      </c>
    </row>
    <row r="169" spans="1:11" s="27" customFormat="1" ht="30" customHeight="1">
      <c r="A169" s="25"/>
      <c r="B169" s="10"/>
      <c r="C169" s="24"/>
      <c r="D169" s="15" t="str">
        <f>""&amp;K167&amp;"x"&amp;K168&amp;""</f>
        <v>7,9x2</v>
      </c>
      <c r="E169" s="25" t="s">
        <v>6</v>
      </c>
      <c r="F169" s="16">
        <f>K167*K168</f>
        <v>15.8</v>
      </c>
      <c r="G169" s="16"/>
      <c r="H169" s="16"/>
      <c r="J169" s="90" t="s">
        <v>372</v>
      </c>
      <c r="K169" s="27">
        <v>357.44</v>
      </c>
    </row>
    <row r="170" spans="1:10" s="27" customFormat="1" ht="30" customHeight="1">
      <c r="A170" s="25">
        <f>A167+1</f>
        <v>33</v>
      </c>
      <c r="B170" s="10" t="s">
        <v>298</v>
      </c>
      <c r="C170" s="24" t="s">
        <v>65</v>
      </c>
      <c r="D170" s="29" t="s">
        <v>301</v>
      </c>
      <c r="E170" s="25" t="s">
        <v>8</v>
      </c>
      <c r="F170" s="16">
        <f>F172</f>
        <v>714.88</v>
      </c>
      <c r="G170" s="16">
        <v>80</v>
      </c>
      <c r="H170" s="16">
        <f>IF(ROUND(F170*G170,2)=0," ",ROUND(F170*G170,2))</f>
        <v>57190.4</v>
      </c>
      <c r="J170" s="90"/>
    </row>
    <row r="171" spans="1:11" s="27" customFormat="1" ht="30" customHeight="1">
      <c r="A171" s="25"/>
      <c r="B171" s="10"/>
      <c r="C171" s="24"/>
      <c r="D171" s="29" t="s">
        <v>305</v>
      </c>
      <c r="E171" s="25"/>
      <c r="F171" s="16"/>
      <c r="G171" s="16"/>
      <c r="H171" s="16"/>
      <c r="J171" s="90" t="s">
        <v>373</v>
      </c>
      <c r="K171" s="145">
        <f>2*(0.012+0.08)*(7.6+1.17*2)</f>
        <v>1.82896</v>
      </c>
    </row>
    <row r="172" spans="1:11" s="27" customFormat="1" ht="30" customHeight="1">
      <c r="A172" s="25"/>
      <c r="B172" s="10"/>
      <c r="C172" s="24"/>
      <c r="D172" s="15" t="str">
        <f>""&amp;"G="&amp;K169&amp;"*"&amp;K168&amp;""""</f>
        <v>G=357,44*2"</v>
      </c>
      <c r="E172" s="25" t="s">
        <v>8</v>
      </c>
      <c r="F172" s="16">
        <f>K169*K168</f>
        <v>714.88</v>
      </c>
      <c r="G172" s="16"/>
      <c r="H172" s="16"/>
      <c r="J172" s="90" t="s">
        <v>374</v>
      </c>
      <c r="K172" s="145">
        <f>2*(0.012+0.08)*1.088*9</f>
        <v>1.801728</v>
      </c>
    </row>
    <row r="173" spans="1:11" s="27" customFormat="1" ht="30" customHeight="1">
      <c r="A173" s="25">
        <f>A170+1</f>
        <v>34</v>
      </c>
      <c r="B173" s="10" t="s">
        <v>298</v>
      </c>
      <c r="C173" s="24" t="s">
        <v>302</v>
      </c>
      <c r="D173" s="29" t="s">
        <v>303</v>
      </c>
      <c r="E173" s="25" t="s">
        <v>89</v>
      </c>
      <c r="F173" s="16">
        <f>F175</f>
        <v>20.36</v>
      </c>
      <c r="G173" s="16"/>
      <c r="H173" s="16"/>
      <c r="J173" s="90" t="s">
        <v>375</v>
      </c>
      <c r="K173" s="145">
        <f>2*(0.01+0.05)*(0.988*9+0.788*2)</f>
        <v>1.2561600000000002</v>
      </c>
    </row>
    <row r="174" spans="1:11" s="27" customFormat="1" ht="30" customHeight="1">
      <c r="A174" s="25"/>
      <c r="B174" s="139"/>
      <c r="C174" s="140"/>
      <c r="D174" s="29" t="s">
        <v>304</v>
      </c>
      <c r="E174" s="25"/>
      <c r="F174" s="16"/>
      <c r="G174" s="16"/>
      <c r="H174" s="16"/>
      <c r="J174" s="90" t="s">
        <v>376</v>
      </c>
      <c r="K174" s="145">
        <f>2*(0.01+0.05)*0.958*46</f>
        <v>5.28816</v>
      </c>
    </row>
    <row r="175" spans="1:11" s="27" customFormat="1" ht="30" customHeight="1">
      <c r="A175" s="25"/>
      <c r="B175" s="10"/>
      <c r="C175" s="24"/>
      <c r="D175" s="15" t="str">
        <f>""&amp;"P="&amp;K175&amp;"*"&amp;K168&amp;""""</f>
        <v>P=10,18*2"</v>
      </c>
      <c r="E175" s="25" t="s">
        <v>89</v>
      </c>
      <c r="F175" s="16">
        <f>K175*K168</f>
        <v>20.36</v>
      </c>
      <c r="G175" s="16"/>
      <c r="H175" s="16"/>
      <c r="J175" s="90" t="s">
        <v>377</v>
      </c>
      <c r="K175" s="145">
        <f>ROUND(SUM(K171:K174),2)</f>
        <v>10.18</v>
      </c>
    </row>
    <row r="176" spans="1:11" s="27" customFormat="1" ht="30" customHeight="1">
      <c r="A176" s="25">
        <f>A173+1</f>
        <v>35</v>
      </c>
      <c r="B176" s="10" t="s">
        <v>306</v>
      </c>
      <c r="C176" s="10" t="s">
        <v>379</v>
      </c>
      <c r="D176" s="29" t="s">
        <v>381</v>
      </c>
      <c r="E176" s="25" t="s">
        <v>63</v>
      </c>
      <c r="F176" s="146">
        <f>F178</f>
        <v>18</v>
      </c>
      <c r="G176" s="16"/>
      <c r="H176" s="16"/>
      <c r="J176" s="90"/>
      <c r="K176" s="145"/>
    </row>
    <row r="177" spans="1:11" s="27" customFormat="1" ht="30" customHeight="1">
      <c r="A177" s="25"/>
      <c r="B177" s="79"/>
      <c r="C177" s="80"/>
      <c r="D177" s="29" t="s">
        <v>382</v>
      </c>
      <c r="E177" s="29"/>
      <c r="F177" s="16"/>
      <c r="G177" s="16"/>
      <c r="H177" s="16"/>
      <c r="J177" s="90" t="s">
        <v>380</v>
      </c>
      <c r="K177" s="27">
        <v>9</v>
      </c>
    </row>
    <row r="178" spans="1:11" s="27" customFormat="1" ht="30" customHeight="1">
      <c r="A178" s="25"/>
      <c r="B178" s="10"/>
      <c r="C178" s="24"/>
      <c r="D178" s="15" t="str">
        <f>""&amp;K178&amp;"*"&amp;K177&amp;""</f>
        <v>2*9</v>
      </c>
      <c r="E178" s="25" t="s">
        <v>63</v>
      </c>
      <c r="F178" s="146">
        <f>K178*K177</f>
        <v>18</v>
      </c>
      <c r="G178" s="16"/>
      <c r="H178" s="16"/>
      <c r="J178" s="90" t="s">
        <v>118</v>
      </c>
      <c r="K178" s="27">
        <v>2</v>
      </c>
    </row>
    <row r="179" spans="1:10" s="27" customFormat="1" ht="30" customHeight="1">
      <c r="A179" s="14" t="s">
        <v>17</v>
      </c>
      <c r="B179" s="14" t="s">
        <v>306</v>
      </c>
      <c r="C179" s="141"/>
      <c r="D179" s="138" t="s">
        <v>307</v>
      </c>
      <c r="E179" s="14" t="s">
        <v>17</v>
      </c>
      <c r="F179" s="28" t="s">
        <v>17</v>
      </c>
      <c r="G179" s="14" t="s">
        <v>17</v>
      </c>
      <c r="H179" s="14" t="s">
        <v>17</v>
      </c>
      <c r="J179" s="90"/>
    </row>
    <row r="180" spans="1:11" s="27" customFormat="1" ht="30" customHeight="1">
      <c r="A180" s="25">
        <f>A176+1</f>
        <v>36</v>
      </c>
      <c r="B180" s="10" t="s">
        <v>306</v>
      </c>
      <c r="C180" s="24" t="s">
        <v>55</v>
      </c>
      <c r="D180" s="29" t="s">
        <v>308</v>
      </c>
      <c r="E180" s="25" t="s">
        <v>6</v>
      </c>
      <c r="F180" s="16">
        <f>F182</f>
        <v>8.8</v>
      </c>
      <c r="G180" s="16">
        <v>220</v>
      </c>
      <c r="H180" s="16">
        <f>IF(ROUND(F180*G180,2)=0," ",ROUND(F180*G180,2))</f>
        <v>1936</v>
      </c>
      <c r="J180" s="90" t="s">
        <v>309</v>
      </c>
      <c r="K180" s="27">
        <v>2.2</v>
      </c>
    </row>
    <row r="181" spans="1:11" s="27" customFormat="1" ht="38.25">
      <c r="A181" s="25"/>
      <c r="B181" s="142"/>
      <c r="C181" s="143"/>
      <c r="D181" s="29" t="s">
        <v>383</v>
      </c>
      <c r="E181" s="25"/>
      <c r="F181" s="16"/>
      <c r="G181" s="16"/>
      <c r="H181" s="16"/>
      <c r="J181" s="90" t="s">
        <v>110</v>
      </c>
      <c r="K181" s="27">
        <v>4</v>
      </c>
    </row>
    <row r="182" spans="1:10" s="27" customFormat="1" ht="30" customHeight="1">
      <c r="A182" s="25"/>
      <c r="B182" s="10"/>
      <c r="C182" s="24"/>
      <c r="D182" s="15" t="str">
        <f>""&amp;K180&amp;"x"&amp;K181&amp;""</f>
        <v>2,2x4</v>
      </c>
      <c r="E182" s="25" t="s">
        <v>6</v>
      </c>
      <c r="F182" s="16">
        <f>K180*K181</f>
        <v>8.8</v>
      </c>
      <c r="G182" s="16"/>
      <c r="H182" s="16"/>
      <c r="J182" s="90"/>
    </row>
    <row r="183" spans="1:10" s="27" customFormat="1" ht="30" customHeight="1" hidden="1">
      <c r="A183" s="25"/>
      <c r="B183" s="30"/>
      <c r="C183" s="31"/>
      <c r="D183" s="179" t="str">
        <f>"RAZEM: "&amp;D165&amp;""</f>
        <v>RAZEM: WYPOSAŻENIE</v>
      </c>
      <c r="E183" s="179"/>
      <c r="F183" s="179"/>
      <c r="G183" s="179"/>
      <c r="H183" s="53" t="e">
        <f>IF(SUM(H180,#REF!,#REF!,#REF!,#REF!,#REF!,#REF!,#REF!,H167,H170,#REF!,#REF!,#REF!)=0," ",SUM(H180,#REF!,#REF!,#REF!,#REF!,#REF!,#REF!,#REF!,H167,H170,#REF!,#REF!,#REF!))</f>
        <v>#REF!</v>
      </c>
      <c r="J183" s="90"/>
    </row>
    <row r="184" spans="1:11" s="82" customFormat="1" ht="30" customHeight="1">
      <c r="A184" s="61" t="s">
        <v>263</v>
      </c>
      <c r="B184" s="61" t="s">
        <v>2</v>
      </c>
      <c r="C184" s="69"/>
      <c r="D184" s="61" t="s">
        <v>23</v>
      </c>
      <c r="E184" s="61" t="s">
        <v>17</v>
      </c>
      <c r="F184" s="54" t="s">
        <v>17</v>
      </c>
      <c r="G184" s="61" t="s">
        <v>17</v>
      </c>
      <c r="H184" s="61" t="s">
        <v>17</v>
      </c>
      <c r="J184" s="90" t="s">
        <v>175</v>
      </c>
      <c r="K184" s="82">
        <v>2</v>
      </c>
    </row>
    <row r="185" spans="1:11" s="27" customFormat="1" ht="30" customHeight="1">
      <c r="A185" s="14" t="s">
        <v>17</v>
      </c>
      <c r="B185" s="14" t="s">
        <v>173</v>
      </c>
      <c r="C185" s="22"/>
      <c r="D185" s="23" t="s">
        <v>174</v>
      </c>
      <c r="E185" s="14" t="s">
        <v>17</v>
      </c>
      <c r="F185" s="28" t="s">
        <v>17</v>
      </c>
      <c r="G185" s="16"/>
      <c r="H185" s="16"/>
      <c r="J185" s="90" t="s">
        <v>122</v>
      </c>
      <c r="K185" s="27">
        <v>5</v>
      </c>
    </row>
    <row r="186" spans="1:11" s="27" customFormat="1" ht="25.5">
      <c r="A186" s="10">
        <f>A180+1</f>
        <v>37</v>
      </c>
      <c r="B186" s="10" t="s">
        <v>173</v>
      </c>
      <c r="C186" s="24" t="s">
        <v>108</v>
      </c>
      <c r="D186" s="15" t="s">
        <v>182</v>
      </c>
      <c r="E186" s="25" t="s">
        <v>6</v>
      </c>
      <c r="F186" s="16">
        <f>F188</f>
        <v>15</v>
      </c>
      <c r="G186" s="16"/>
      <c r="H186" s="16"/>
      <c r="J186" s="90" t="s">
        <v>176</v>
      </c>
      <c r="K186" s="27">
        <v>7.5</v>
      </c>
    </row>
    <row r="187" spans="1:10" s="27" customFormat="1" ht="51">
      <c r="A187" s="10"/>
      <c r="B187" s="10"/>
      <c r="C187" s="24"/>
      <c r="D187" s="15" t="s">
        <v>384</v>
      </c>
      <c r="E187" s="25"/>
      <c r="F187" s="16"/>
      <c r="G187" s="16"/>
      <c r="H187" s="16"/>
      <c r="J187" s="90"/>
    </row>
    <row r="188" spans="1:10" s="27" customFormat="1" ht="30" customHeight="1">
      <c r="A188" s="10"/>
      <c r="B188" s="10"/>
      <c r="C188" s="24"/>
      <c r="D188" s="15" t="str">
        <f>""&amp;K186&amp;"x"&amp;K184&amp;""</f>
        <v>7,5x2</v>
      </c>
      <c r="E188" s="25" t="s">
        <v>6</v>
      </c>
      <c r="F188" s="16">
        <f>K186*K184</f>
        <v>15</v>
      </c>
      <c r="G188" s="16"/>
      <c r="H188" s="16"/>
      <c r="J188" s="90"/>
    </row>
    <row r="189" spans="1:11" s="27" customFormat="1" ht="30" customHeight="1">
      <c r="A189" s="14" t="s">
        <v>17</v>
      </c>
      <c r="B189" s="14" t="s">
        <v>177</v>
      </c>
      <c r="C189" s="22"/>
      <c r="D189" s="23" t="s">
        <v>183</v>
      </c>
      <c r="E189" s="14" t="s">
        <v>17</v>
      </c>
      <c r="F189" s="28" t="s">
        <v>17</v>
      </c>
      <c r="G189" s="16"/>
      <c r="H189" s="16"/>
      <c r="J189" s="90" t="s">
        <v>385</v>
      </c>
      <c r="K189" s="27">
        <v>4.1</v>
      </c>
    </row>
    <row r="190" spans="1:11" s="27" customFormat="1" ht="30" customHeight="1">
      <c r="A190" s="10">
        <f>A186+1</f>
        <v>38</v>
      </c>
      <c r="B190" s="10" t="s">
        <v>177</v>
      </c>
      <c r="C190" s="24" t="s">
        <v>40</v>
      </c>
      <c r="D190" s="15" t="s">
        <v>178</v>
      </c>
      <c r="E190" s="25" t="s">
        <v>90</v>
      </c>
      <c r="F190" s="16">
        <f>F192</f>
        <v>58.2</v>
      </c>
      <c r="G190" s="16"/>
      <c r="H190" s="16"/>
      <c r="J190" s="90" t="s">
        <v>282</v>
      </c>
      <c r="K190" s="27">
        <v>3.3</v>
      </c>
    </row>
    <row r="191" spans="1:11" s="27" customFormat="1" ht="30" customHeight="1">
      <c r="A191" s="10"/>
      <c r="B191" s="10"/>
      <c r="C191" s="24"/>
      <c r="D191" s="15" t="s">
        <v>178</v>
      </c>
      <c r="E191" s="25"/>
      <c r="F191" s="16"/>
      <c r="G191" s="16"/>
      <c r="H191" s="16"/>
      <c r="J191" s="90" t="s">
        <v>179</v>
      </c>
      <c r="K191" s="27">
        <v>0.5</v>
      </c>
    </row>
    <row r="192" spans="1:11" s="27" customFormat="1" ht="30" customHeight="1">
      <c r="A192" s="10"/>
      <c r="B192" s="10"/>
      <c r="C192" s="24"/>
      <c r="D192" s="15" t="str">
        <f>"("&amp;K192&amp;"+"&amp;K191&amp;")x"&amp;K190&amp;"/"&amp;K184&amp;")x"&amp;K189&amp;"x"&amp;K184&amp;""</f>
        <v>(3,8+0,5)x3,3/2)x4,1x2</v>
      </c>
      <c r="E192" s="25" t="s">
        <v>90</v>
      </c>
      <c r="F192" s="16">
        <f>ROUND((((K192+K191)*K190)/K184)*K189*K184,1)</f>
        <v>58.2</v>
      </c>
      <c r="G192" s="16"/>
      <c r="H192" s="16"/>
      <c r="J192" s="90" t="s">
        <v>180</v>
      </c>
      <c r="K192" s="27">
        <v>3.8</v>
      </c>
    </row>
    <row r="193" spans="1:11" s="27" customFormat="1" ht="30" customHeight="1">
      <c r="A193" s="61" t="s">
        <v>264</v>
      </c>
      <c r="B193" s="61" t="s">
        <v>218</v>
      </c>
      <c r="C193" s="61"/>
      <c r="D193" s="61" t="s">
        <v>219</v>
      </c>
      <c r="E193" s="61" t="s">
        <v>17</v>
      </c>
      <c r="F193" s="54" t="s">
        <v>17</v>
      </c>
      <c r="G193" s="16"/>
      <c r="H193" s="16"/>
      <c r="J193" s="107"/>
      <c r="K193" s="107"/>
    </row>
    <row r="194" spans="1:12" s="27" customFormat="1" ht="30" customHeight="1">
      <c r="A194" s="14" t="s">
        <v>17</v>
      </c>
      <c r="B194" s="14" t="s">
        <v>0</v>
      </c>
      <c r="C194" s="22"/>
      <c r="D194" s="23" t="s">
        <v>1</v>
      </c>
      <c r="E194" s="14" t="s">
        <v>17</v>
      </c>
      <c r="F194" s="28" t="s">
        <v>17</v>
      </c>
      <c r="G194" s="14" t="s">
        <v>17</v>
      </c>
      <c r="H194" s="14" t="s">
        <v>17</v>
      </c>
      <c r="J194" s="90" t="s">
        <v>114</v>
      </c>
      <c r="K194" s="27" t="s">
        <v>122</v>
      </c>
      <c r="L194" s="27" t="s">
        <v>121</v>
      </c>
    </row>
    <row r="195" spans="1:14" s="27" customFormat="1" ht="30" customHeight="1">
      <c r="A195" s="10">
        <f>A190+1</f>
        <v>39</v>
      </c>
      <c r="B195" s="10" t="s">
        <v>0</v>
      </c>
      <c r="C195" s="24" t="s">
        <v>39</v>
      </c>
      <c r="D195" s="15" t="s">
        <v>165</v>
      </c>
      <c r="E195" s="25" t="s">
        <v>90</v>
      </c>
      <c r="F195" s="16">
        <f>F197</f>
        <v>12</v>
      </c>
      <c r="G195" s="11">
        <v>185</v>
      </c>
      <c r="H195" s="16">
        <f>IF(ROUND(F195*G195,2)=0," ",ROUND(F195*G195,2))</f>
        <v>2220</v>
      </c>
      <c r="J195" s="90" t="s">
        <v>209</v>
      </c>
      <c r="K195" s="27">
        <v>2</v>
      </c>
      <c r="L195" s="90" t="s">
        <v>217</v>
      </c>
      <c r="M195" s="92">
        <v>0.75</v>
      </c>
      <c r="N195" s="20"/>
    </row>
    <row r="196" spans="1:13" s="27" customFormat="1" ht="25.5">
      <c r="A196" s="10"/>
      <c r="B196" s="10"/>
      <c r="C196" s="24"/>
      <c r="D196" s="15" t="s">
        <v>166</v>
      </c>
      <c r="E196" s="25"/>
      <c r="F196" s="16"/>
      <c r="G196" s="10"/>
      <c r="H196" s="16"/>
      <c r="J196" s="90" t="s">
        <v>164</v>
      </c>
      <c r="K196" s="27">
        <v>1</v>
      </c>
      <c r="L196" s="27">
        <v>1</v>
      </c>
      <c r="M196" s="106" t="s">
        <v>210</v>
      </c>
    </row>
    <row r="197" spans="1:13" s="27" customFormat="1" ht="30" customHeight="1">
      <c r="A197" s="10"/>
      <c r="B197" s="10"/>
      <c r="C197" s="24"/>
      <c r="D197" s="15" t="str">
        <f>""&amp;M195&amp;"x"&amp;L197&amp;"x("&amp;K199&amp;"+"&amp;L199&amp;")x"&amp;K195&amp;""</f>
        <v>0,75x1x(5+3)x2</v>
      </c>
      <c r="E197" s="25" t="s">
        <v>90</v>
      </c>
      <c r="F197" s="16">
        <f>(K199+L199)*K195*L196*M195</f>
        <v>12</v>
      </c>
      <c r="G197" s="10"/>
      <c r="H197" s="16"/>
      <c r="J197" s="90"/>
      <c r="K197" s="27">
        <v>0.5</v>
      </c>
      <c r="L197" s="27">
        <v>1</v>
      </c>
      <c r="M197" s="106" t="s">
        <v>211</v>
      </c>
    </row>
    <row r="198" spans="1:13" s="27" customFormat="1" ht="30" customHeight="1">
      <c r="A198" s="10">
        <f>A195+1</f>
        <v>40</v>
      </c>
      <c r="B198" s="10" t="s">
        <v>0</v>
      </c>
      <c r="C198" s="24" t="s">
        <v>40</v>
      </c>
      <c r="D198" s="15" t="s">
        <v>187</v>
      </c>
      <c r="E198" s="25" t="s">
        <v>90</v>
      </c>
      <c r="F198" s="16">
        <f>F200</f>
        <v>20</v>
      </c>
      <c r="G198" s="10"/>
      <c r="H198" s="16"/>
      <c r="J198" s="90"/>
      <c r="K198" s="27">
        <v>0.5</v>
      </c>
      <c r="L198" s="27">
        <v>1</v>
      </c>
      <c r="M198" s="106" t="s">
        <v>386</v>
      </c>
    </row>
    <row r="199" spans="1:13" s="27" customFormat="1" ht="25.5">
      <c r="A199" s="10"/>
      <c r="B199" s="10"/>
      <c r="C199" s="24"/>
      <c r="D199" s="15" t="s">
        <v>387</v>
      </c>
      <c r="E199" s="25"/>
      <c r="F199" s="16"/>
      <c r="G199" s="10"/>
      <c r="H199" s="16"/>
      <c r="J199" s="90" t="s">
        <v>212</v>
      </c>
      <c r="K199" s="27">
        <v>5</v>
      </c>
      <c r="L199" s="27">
        <v>3</v>
      </c>
      <c r="M199" s="27" t="s">
        <v>213</v>
      </c>
    </row>
    <row r="200" spans="1:13" s="27" customFormat="1" ht="30" customHeight="1">
      <c r="A200" s="10"/>
      <c r="B200" s="10"/>
      <c r="C200" s="24"/>
      <c r="D200" s="15" t="str">
        <f>"("&amp;K198&amp;"x"&amp;L198&amp;")x("&amp;K199&amp;"+"&amp;L199&amp;")x2+("&amp;K198&amp;"x"&amp;L198&amp;")x("&amp;K200&amp;"+"&amp;K201&amp;"+"&amp;K202&amp;")x4"</f>
        <v>(0,5x1)x(5+3)x2+(0,5x1)x(2,5+2+1,5)x4</v>
      </c>
      <c r="E200" s="25" t="s">
        <v>90</v>
      </c>
      <c r="F200" s="16">
        <f>(K197*L197)*(K199+L199)*2+(K198*L198)*4*(K200+K201+K202)</f>
        <v>20</v>
      </c>
      <c r="G200" s="10"/>
      <c r="H200" s="16"/>
      <c r="J200" s="90"/>
      <c r="K200" s="27">
        <v>2.5</v>
      </c>
      <c r="M200" s="27" t="s">
        <v>214</v>
      </c>
    </row>
    <row r="201" spans="1:13" s="27" customFormat="1" ht="30" customHeight="1">
      <c r="A201" s="10">
        <f>A198+1</f>
        <v>41</v>
      </c>
      <c r="B201" s="10" t="s">
        <v>0</v>
      </c>
      <c r="C201" s="24" t="s">
        <v>40</v>
      </c>
      <c r="D201" s="15" t="s">
        <v>389</v>
      </c>
      <c r="E201" s="25" t="s">
        <v>90</v>
      </c>
      <c r="F201" s="16">
        <f>F203</f>
        <v>8</v>
      </c>
      <c r="G201" s="10"/>
      <c r="H201" s="16"/>
      <c r="J201" s="90"/>
      <c r="K201" s="27">
        <v>2</v>
      </c>
      <c r="M201" s="27" t="s">
        <v>215</v>
      </c>
    </row>
    <row r="202" spans="1:13" s="27" customFormat="1" ht="25.5">
      <c r="A202" s="10"/>
      <c r="B202" s="10"/>
      <c r="C202" s="24"/>
      <c r="D202" s="15" t="s">
        <v>388</v>
      </c>
      <c r="E202" s="25"/>
      <c r="F202" s="16"/>
      <c r="G202" s="10"/>
      <c r="H202" s="16"/>
      <c r="J202" s="90"/>
      <c r="K202" s="27">
        <v>1.5</v>
      </c>
      <c r="M202" s="27" t="s">
        <v>216</v>
      </c>
    </row>
    <row r="203" spans="1:10" s="27" customFormat="1" ht="30" customHeight="1">
      <c r="A203" s="10"/>
      <c r="B203" s="10"/>
      <c r="C203" s="24"/>
      <c r="D203" s="15" t="str">
        <f>""&amp;K197&amp;"x"&amp;L197&amp;"x("&amp;K199&amp;"+"&amp;L199&amp;")x"&amp;K195&amp;""</f>
        <v>0,5x1x(5+3)x2</v>
      </c>
      <c r="E203" s="25" t="s">
        <v>90</v>
      </c>
      <c r="F203" s="16">
        <f>(K199+L199)*K195*K197*L197</f>
        <v>8</v>
      </c>
      <c r="G203" s="10"/>
      <c r="H203" s="16"/>
      <c r="J203" s="90"/>
    </row>
    <row r="204" spans="1:10" s="82" customFormat="1" ht="30" customHeight="1">
      <c r="A204" s="61" t="s">
        <v>265</v>
      </c>
      <c r="B204" s="61" t="s">
        <v>56</v>
      </c>
      <c r="C204" s="69"/>
      <c r="D204" s="61" t="s">
        <v>57</v>
      </c>
      <c r="E204" s="61" t="s">
        <v>17</v>
      </c>
      <c r="F204" s="54" t="s">
        <v>17</v>
      </c>
      <c r="G204" s="61" t="s">
        <v>17</v>
      </c>
      <c r="H204" s="61" t="s">
        <v>17</v>
      </c>
      <c r="J204" s="90"/>
    </row>
    <row r="205" spans="1:10" s="27" customFormat="1" ht="30" customHeight="1">
      <c r="A205" s="14" t="s">
        <v>17</v>
      </c>
      <c r="B205" s="14" t="s">
        <v>310</v>
      </c>
      <c r="C205" s="10"/>
      <c r="D205" s="23" t="s">
        <v>311</v>
      </c>
      <c r="E205" s="14" t="s">
        <v>17</v>
      </c>
      <c r="F205" s="28" t="s">
        <v>17</v>
      </c>
      <c r="G205" s="14" t="s">
        <v>17</v>
      </c>
      <c r="H205" s="14" t="s">
        <v>17</v>
      </c>
      <c r="J205" s="90"/>
    </row>
    <row r="206" spans="1:10" s="27" customFormat="1" ht="30" customHeight="1">
      <c r="A206" s="14" t="s">
        <v>17</v>
      </c>
      <c r="B206" s="14" t="s">
        <v>312</v>
      </c>
      <c r="C206" s="10"/>
      <c r="D206" s="23" t="s">
        <v>313</v>
      </c>
      <c r="E206" s="14" t="s">
        <v>17</v>
      </c>
      <c r="F206" s="28" t="s">
        <v>17</v>
      </c>
      <c r="G206" s="14"/>
      <c r="H206" s="14"/>
      <c r="J206" s="90"/>
    </row>
    <row r="207" spans="1:11" s="27" customFormat="1" ht="30" customHeight="1">
      <c r="A207" s="10">
        <f>A201+1</f>
        <v>42</v>
      </c>
      <c r="B207" s="10" t="s">
        <v>312</v>
      </c>
      <c r="C207" s="10">
        <v>11</v>
      </c>
      <c r="D207" s="15" t="s">
        <v>314</v>
      </c>
      <c r="E207" s="25" t="s">
        <v>184</v>
      </c>
      <c r="F207" s="16">
        <f>F208</f>
        <v>7.8</v>
      </c>
      <c r="G207" s="16">
        <v>280</v>
      </c>
      <c r="H207" s="16">
        <f>IF(ROUND(F207*G207,2)=0," ",ROUND(F207*G207,2))</f>
        <v>2184</v>
      </c>
      <c r="J207" s="93" t="s">
        <v>390</v>
      </c>
      <c r="K207" s="27">
        <v>0.5</v>
      </c>
    </row>
    <row r="208" spans="1:11" s="27" customFormat="1" ht="25.5">
      <c r="A208" s="10"/>
      <c r="B208" s="10"/>
      <c r="C208" s="10"/>
      <c r="D208" s="87" t="s">
        <v>315</v>
      </c>
      <c r="E208" s="25" t="s">
        <v>184</v>
      </c>
      <c r="F208" s="16">
        <f>F211</f>
        <v>7.8</v>
      </c>
      <c r="G208" s="16"/>
      <c r="H208" s="16"/>
      <c r="J208" s="90" t="s">
        <v>114</v>
      </c>
      <c r="K208" s="27">
        <v>7.8</v>
      </c>
    </row>
    <row r="209" spans="1:11" s="27" customFormat="1" ht="12.75">
      <c r="A209" s="10"/>
      <c r="B209" s="10"/>
      <c r="C209" s="10"/>
      <c r="D209" s="15" t="s">
        <v>316</v>
      </c>
      <c r="E209" s="25" t="s">
        <v>184</v>
      </c>
      <c r="F209" s="88">
        <f>F211</f>
        <v>7.8</v>
      </c>
      <c r="G209" s="16"/>
      <c r="H209" s="16"/>
      <c r="J209" s="92" t="s">
        <v>125</v>
      </c>
      <c r="K209" s="27">
        <v>2</v>
      </c>
    </row>
    <row r="210" spans="1:10" s="27" customFormat="1" ht="25.5">
      <c r="A210" s="10"/>
      <c r="B210" s="10"/>
      <c r="C210" s="10"/>
      <c r="D210" s="15" t="s">
        <v>317</v>
      </c>
      <c r="E210" s="25" t="s">
        <v>184</v>
      </c>
      <c r="F210" s="88">
        <f>F211</f>
        <v>7.8</v>
      </c>
      <c r="G210" s="16"/>
      <c r="H210" s="16"/>
      <c r="J210" s="92"/>
    </row>
    <row r="211" spans="1:8" s="27" customFormat="1" ht="12.75">
      <c r="A211" s="10"/>
      <c r="B211" s="10"/>
      <c r="C211" s="10"/>
      <c r="D211" s="15" t="str">
        <f>""&amp;K209&amp;"x"&amp;K208&amp;"x"&amp;K207&amp;""</f>
        <v>2x7,8x0,5</v>
      </c>
      <c r="E211" s="25"/>
      <c r="F211" s="88">
        <f>K209*K208*K207</f>
        <v>7.8</v>
      </c>
      <c r="G211" s="16"/>
      <c r="H211" s="16"/>
    </row>
    <row r="212" spans="1:8" s="27" customFormat="1" ht="30" customHeight="1" hidden="1">
      <c r="A212" s="25"/>
      <c r="B212" s="30"/>
      <c r="C212" s="31"/>
      <c r="D212" s="179" t="str">
        <f>"RAZEM: "&amp;D204&amp;""</f>
        <v>RAZEM: ROBOTY NAWIERZCHNIOWE I ZABEZPIECZAJĄCE</v>
      </c>
      <c r="E212" s="179"/>
      <c r="F212" s="179"/>
      <c r="G212" s="179"/>
      <c r="H212" s="53" t="e">
        <f>IF(SUM(H207,#REF!)=0," ",SUM(H207,#REF!))</f>
        <v>#REF!</v>
      </c>
    </row>
    <row r="213" spans="1:8" s="27" customFormat="1" ht="30" customHeight="1" hidden="1">
      <c r="A213" s="180" t="str">
        <f>"RAZEM: "&amp;A91&amp;""</f>
        <v>RAZEM: 2.</v>
      </c>
      <c r="B213" s="181"/>
      <c r="C213" s="181"/>
      <c r="D213" s="181"/>
      <c r="E213" s="181"/>
      <c r="F213" s="181"/>
      <c r="G213" s="181"/>
      <c r="H213" s="54" t="e">
        <f>IF(SUM(H212,#REF!,H183,H164,H152,H143,H137,H136,H135,H134,H133,#REF!,#REF!)=0," ",SUM(H212,#REF!,H183,H164,H152,H143,H137,H136,H135,H134,H133,#REF!,#REF!))</f>
        <v>#REF!</v>
      </c>
    </row>
    <row r="214" spans="1:10" s="27" customFormat="1" ht="40.5" customHeight="1" hidden="1">
      <c r="A214" s="178" t="str">
        <f>"RAZEM: "&amp;A3&amp;""</f>
        <v>RAZEM: REMONT MOSTU </v>
      </c>
      <c r="B214" s="178"/>
      <c r="C214" s="178"/>
      <c r="D214" s="178"/>
      <c r="E214" s="178"/>
      <c r="F214" s="178"/>
      <c r="G214" s="178"/>
      <c r="H214" s="55" t="e">
        <f>IF(SUM(H90,H213,#REF!)=0," ",(SUM(H90,H213,#REF!)))</f>
        <v>#REF!</v>
      </c>
      <c r="J214" s="94"/>
    </row>
    <row r="215" spans="1:10" s="27" customFormat="1" ht="30" customHeight="1" hidden="1">
      <c r="A215" s="178" t="s">
        <v>127</v>
      </c>
      <c r="B215" s="178"/>
      <c r="C215" s="178"/>
      <c r="D215" s="178"/>
      <c r="E215" s="178"/>
      <c r="F215" s="178"/>
      <c r="G215" s="178"/>
      <c r="H215" s="55" t="e">
        <f>H214*0.23</f>
        <v>#REF!</v>
      </c>
      <c r="J215" s="90"/>
    </row>
    <row r="216" spans="1:10" s="27" customFormat="1" ht="30" customHeight="1" hidden="1">
      <c r="A216" s="178" t="str">
        <f>"RAZEM: "&amp;A3&amp;""</f>
        <v>RAZEM: REMONT MOSTU </v>
      </c>
      <c r="B216" s="178"/>
      <c r="C216" s="178"/>
      <c r="D216" s="178"/>
      <c r="E216" s="178"/>
      <c r="F216" s="178"/>
      <c r="G216" s="178"/>
      <c r="H216" s="55" t="e">
        <f>H215+H214</f>
        <v>#REF!</v>
      </c>
      <c r="J216" s="90"/>
    </row>
    <row r="217" spans="1:10" s="27" customFormat="1" ht="30" customHeight="1">
      <c r="A217" s="32"/>
      <c r="B217" s="32"/>
      <c r="C217" s="33"/>
      <c r="D217" s="34"/>
      <c r="E217" s="35"/>
      <c r="F217" s="64"/>
      <c r="G217" s="36"/>
      <c r="H217" s="36"/>
      <c r="J217" s="90"/>
    </row>
    <row r="218" spans="1:10" s="27" customFormat="1" ht="57" customHeight="1">
      <c r="A218" s="32"/>
      <c r="B218" s="32"/>
      <c r="C218" s="33"/>
      <c r="D218" s="34"/>
      <c r="E218" s="35"/>
      <c r="F218" s="64"/>
      <c r="G218" s="36"/>
      <c r="H218" s="36"/>
      <c r="J218" s="90"/>
    </row>
    <row r="219" spans="1:10" s="27" customFormat="1" ht="30" customHeight="1">
      <c r="A219" s="32"/>
      <c r="B219" s="32"/>
      <c r="C219" s="33"/>
      <c r="D219" s="34"/>
      <c r="E219" s="35"/>
      <c r="F219" s="64"/>
      <c r="G219" s="36"/>
      <c r="H219" s="36"/>
      <c r="J219" s="90"/>
    </row>
    <row r="220" spans="1:10" s="27" customFormat="1" ht="30" customHeight="1">
      <c r="A220" s="32"/>
      <c r="B220" s="32"/>
      <c r="C220" s="33"/>
      <c r="D220" s="34"/>
      <c r="E220" s="35"/>
      <c r="F220" s="64"/>
      <c r="G220" s="36"/>
      <c r="H220" s="36"/>
      <c r="J220" s="90"/>
    </row>
    <row r="221" spans="1:10" s="27" customFormat="1" ht="30" customHeight="1">
      <c r="A221" s="32"/>
      <c r="B221" s="32"/>
      <c r="C221" s="33"/>
      <c r="D221" s="34"/>
      <c r="E221" s="35"/>
      <c r="F221" s="64"/>
      <c r="G221" s="36"/>
      <c r="H221" s="36"/>
      <c r="J221" s="90"/>
    </row>
    <row r="222" spans="1:10" s="35" customFormat="1" ht="30" customHeight="1">
      <c r="A222" s="32"/>
      <c r="B222" s="32"/>
      <c r="C222" s="33"/>
      <c r="D222" s="34"/>
      <c r="F222" s="64"/>
      <c r="G222" s="36"/>
      <c r="H222" s="36"/>
      <c r="J222" s="90"/>
    </row>
    <row r="223" spans="1:10" s="35" customFormat="1" ht="30" customHeight="1">
      <c r="A223" s="32"/>
      <c r="B223" s="32"/>
      <c r="C223" s="33"/>
      <c r="D223" s="34"/>
      <c r="F223" s="64"/>
      <c r="G223" s="36"/>
      <c r="H223" s="36"/>
      <c r="J223" s="90"/>
    </row>
    <row r="224" spans="1:10" s="35" customFormat="1" ht="30" customHeight="1">
      <c r="A224" s="32"/>
      <c r="B224" s="32"/>
      <c r="C224" s="33"/>
      <c r="D224" s="34"/>
      <c r="F224" s="64"/>
      <c r="G224" s="36"/>
      <c r="H224" s="36"/>
      <c r="J224" s="90"/>
    </row>
    <row r="225" spans="1:10" s="35" customFormat="1" ht="54.75" customHeight="1">
      <c r="A225" s="32"/>
      <c r="B225" s="32"/>
      <c r="C225" s="33"/>
      <c r="D225" s="34"/>
      <c r="F225" s="64"/>
      <c r="G225" s="36"/>
      <c r="H225" s="36"/>
      <c r="J225" s="90"/>
    </row>
    <row r="226" spans="1:10" s="35" customFormat="1" ht="30" customHeight="1">
      <c r="A226" s="32"/>
      <c r="B226" s="32"/>
      <c r="C226" s="33"/>
      <c r="D226" s="34"/>
      <c r="F226" s="64"/>
      <c r="G226" s="36"/>
      <c r="H226" s="36"/>
      <c r="J226" s="90"/>
    </row>
    <row r="227" spans="1:10" s="35" customFormat="1" ht="30" customHeight="1">
      <c r="A227" s="32"/>
      <c r="B227" s="32"/>
      <c r="C227" s="33"/>
      <c r="D227" s="34"/>
      <c r="F227" s="64"/>
      <c r="G227" s="36"/>
      <c r="H227" s="36"/>
      <c r="J227" s="90"/>
    </row>
    <row r="228" spans="1:10" s="35" customFormat="1" ht="39.75" customHeight="1">
      <c r="A228" s="32"/>
      <c r="B228" s="32"/>
      <c r="C228" s="33"/>
      <c r="D228" s="34"/>
      <c r="F228" s="64"/>
      <c r="G228" s="36"/>
      <c r="H228" s="36"/>
      <c r="J228" s="90"/>
    </row>
    <row r="229" spans="1:10" s="35" customFormat="1" ht="30" customHeight="1">
      <c r="A229" s="32"/>
      <c r="B229" s="32"/>
      <c r="C229" s="33"/>
      <c r="D229" s="34"/>
      <c r="F229" s="64"/>
      <c r="G229" s="36"/>
      <c r="H229" s="36"/>
      <c r="J229" s="90"/>
    </row>
    <row r="230" spans="1:10" s="35" customFormat="1" ht="30" customHeight="1">
      <c r="A230" s="32"/>
      <c r="B230" s="32"/>
      <c r="C230" s="33"/>
      <c r="D230" s="34"/>
      <c r="F230" s="64"/>
      <c r="G230" s="36"/>
      <c r="H230" s="36"/>
      <c r="J230" s="90"/>
    </row>
    <row r="231" spans="1:10" s="35" customFormat="1" ht="30" customHeight="1">
      <c r="A231" s="32"/>
      <c r="B231" s="32"/>
      <c r="C231" s="33"/>
      <c r="D231" s="34"/>
      <c r="F231" s="64"/>
      <c r="G231" s="36"/>
      <c r="H231" s="36"/>
      <c r="J231" s="90"/>
    </row>
    <row r="232" spans="1:10" s="35" customFormat="1" ht="56.25" customHeight="1">
      <c r="A232" s="32"/>
      <c r="B232" s="32"/>
      <c r="C232" s="33"/>
      <c r="D232" s="34"/>
      <c r="F232" s="64"/>
      <c r="G232" s="36"/>
      <c r="H232" s="36"/>
      <c r="J232" s="90"/>
    </row>
    <row r="233" spans="1:10" s="35" customFormat="1" ht="30" customHeight="1">
      <c r="A233" s="32"/>
      <c r="B233" s="32"/>
      <c r="C233" s="33"/>
      <c r="D233" s="34"/>
      <c r="F233" s="64"/>
      <c r="G233" s="36"/>
      <c r="H233" s="36"/>
      <c r="J233" s="90"/>
    </row>
    <row r="234" spans="1:10" s="35" customFormat="1" ht="30" customHeight="1">
      <c r="A234" s="32"/>
      <c r="B234" s="32"/>
      <c r="C234" s="33"/>
      <c r="D234" s="34"/>
      <c r="F234" s="64"/>
      <c r="G234" s="36"/>
      <c r="H234" s="36"/>
      <c r="J234" s="90"/>
    </row>
    <row r="235" spans="1:10" s="35" customFormat="1" ht="30" customHeight="1">
      <c r="A235" s="32"/>
      <c r="B235" s="32"/>
      <c r="C235" s="33"/>
      <c r="D235" s="34"/>
      <c r="F235" s="64"/>
      <c r="G235" s="36"/>
      <c r="H235" s="36"/>
      <c r="J235" s="90"/>
    </row>
    <row r="236" spans="1:10" s="35" customFormat="1" ht="30" customHeight="1">
      <c r="A236" s="32"/>
      <c r="B236" s="32"/>
      <c r="C236" s="33"/>
      <c r="D236" s="34"/>
      <c r="F236" s="64"/>
      <c r="G236" s="36"/>
      <c r="H236" s="36"/>
      <c r="J236" s="90"/>
    </row>
    <row r="237" spans="1:10" s="35" customFormat="1" ht="30" customHeight="1">
      <c r="A237" s="32"/>
      <c r="B237" s="32"/>
      <c r="C237" s="33"/>
      <c r="D237" s="34"/>
      <c r="F237" s="64"/>
      <c r="G237" s="36"/>
      <c r="H237" s="36"/>
      <c r="J237" s="90"/>
    </row>
    <row r="238" spans="1:10" s="35" customFormat="1" ht="30" customHeight="1">
      <c r="A238" s="32"/>
      <c r="B238" s="32"/>
      <c r="C238" s="33"/>
      <c r="D238" s="34"/>
      <c r="F238" s="64"/>
      <c r="G238" s="36"/>
      <c r="H238" s="36"/>
      <c r="J238" s="90"/>
    </row>
    <row r="239" spans="1:10" s="35" customFormat="1" ht="30" customHeight="1">
      <c r="A239" s="32"/>
      <c r="B239" s="32"/>
      <c r="C239" s="33"/>
      <c r="D239" s="34"/>
      <c r="F239" s="64"/>
      <c r="G239" s="36"/>
      <c r="H239" s="36"/>
      <c r="J239" s="90"/>
    </row>
    <row r="240" spans="1:10" s="35" customFormat="1" ht="30" customHeight="1">
      <c r="A240" s="32"/>
      <c r="B240" s="32"/>
      <c r="C240" s="33"/>
      <c r="D240" s="34"/>
      <c r="F240" s="64"/>
      <c r="G240" s="36"/>
      <c r="H240" s="36"/>
      <c r="J240" s="90"/>
    </row>
    <row r="241" spans="1:10" s="35" customFormat="1" ht="30" customHeight="1">
      <c r="A241" s="37"/>
      <c r="B241" s="37"/>
      <c r="C241" s="38"/>
      <c r="D241" s="39"/>
      <c r="E241" s="17"/>
      <c r="F241" s="65"/>
      <c r="G241" s="40"/>
      <c r="H241" s="40"/>
      <c r="J241" s="90"/>
    </row>
    <row r="242" spans="1:10" s="35" customFormat="1" ht="30" customHeight="1">
      <c r="A242" s="37"/>
      <c r="B242" s="37"/>
      <c r="C242" s="38"/>
      <c r="D242" s="39"/>
      <c r="E242" s="17"/>
      <c r="F242" s="65"/>
      <c r="G242" s="40"/>
      <c r="H242" s="40"/>
      <c r="J242" s="90"/>
    </row>
    <row r="243" spans="1:10" s="35" customFormat="1" ht="30" customHeight="1">
      <c r="A243" s="37"/>
      <c r="B243" s="37"/>
      <c r="C243" s="38"/>
      <c r="D243" s="39"/>
      <c r="E243" s="17"/>
      <c r="F243" s="65"/>
      <c r="G243" s="40"/>
      <c r="H243" s="40"/>
      <c r="J243" s="90"/>
    </row>
    <row r="244" spans="1:10" s="35" customFormat="1" ht="30" customHeight="1">
      <c r="A244" s="37"/>
      <c r="B244" s="37"/>
      <c r="C244" s="38"/>
      <c r="D244" s="39"/>
      <c r="E244" s="17"/>
      <c r="F244" s="65"/>
      <c r="G244" s="40"/>
      <c r="H244" s="40"/>
      <c r="J244" s="90"/>
    </row>
    <row r="245" spans="1:10" s="35" customFormat="1" ht="30" customHeight="1">
      <c r="A245" s="37"/>
      <c r="B245" s="37"/>
      <c r="C245" s="38"/>
      <c r="D245" s="39"/>
      <c r="E245" s="17"/>
      <c r="F245" s="65"/>
      <c r="G245" s="40"/>
      <c r="H245" s="40"/>
      <c r="J245" s="90"/>
    </row>
    <row r="246" spans="1:10" s="35" customFormat="1" ht="30" customHeight="1">
      <c r="A246" s="37"/>
      <c r="B246" s="37"/>
      <c r="C246" s="38"/>
      <c r="D246" s="39"/>
      <c r="E246" s="17"/>
      <c r="F246" s="65"/>
      <c r="G246" s="40"/>
      <c r="H246" s="40"/>
      <c r="J246" s="90"/>
    </row>
    <row r="247" spans="1:10" s="35" customFormat="1" ht="30" customHeight="1">
      <c r="A247" s="37"/>
      <c r="B247" s="37"/>
      <c r="C247" s="38"/>
      <c r="D247" s="39"/>
      <c r="E247" s="17"/>
      <c r="F247" s="65"/>
      <c r="G247" s="40"/>
      <c r="H247" s="40"/>
      <c r="J247" s="90"/>
    </row>
    <row r="248" spans="1:10" s="35" customFormat="1" ht="30" customHeight="1">
      <c r="A248" s="37"/>
      <c r="B248" s="37"/>
      <c r="C248" s="38"/>
      <c r="D248" s="39"/>
      <c r="E248" s="17"/>
      <c r="F248" s="65"/>
      <c r="G248" s="40"/>
      <c r="H248" s="40"/>
      <c r="J248" s="90"/>
    </row>
    <row r="249" spans="1:10" s="35" customFormat="1" ht="30" customHeight="1">
      <c r="A249" s="37"/>
      <c r="B249" s="37"/>
      <c r="C249" s="38"/>
      <c r="D249" s="39"/>
      <c r="E249" s="17"/>
      <c r="F249" s="65"/>
      <c r="G249" s="40"/>
      <c r="H249" s="40"/>
      <c r="J249" s="90"/>
    </row>
    <row r="250" spans="1:10" s="35" customFormat="1" ht="30" customHeight="1">
      <c r="A250" s="37"/>
      <c r="B250" s="37"/>
      <c r="C250" s="38"/>
      <c r="D250" s="39"/>
      <c r="E250" s="17"/>
      <c r="F250" s="65"/>
      <c r="G250" s="40"/>
      <c r="H250" s="40"/>
      <c r="J250" s="90"/>
    </row>
    <row r="251" spans="1:10" s="35" customFormat="1" ht="30" customHeight="1">
      <c r="A251" s="37"/>
      <c r="B251" s="37"/>
      <c r="C251" s="38"/>
      <c r="D251" s="39"/>
      <c r="E251" s="17"/>
      <c r="F251" s="65"/>
      <c r="G251" s="40"/>
      <c r="H251" s="40"/>
      <c r="J251" s="90"/>
    </row>
    <row r="252" spans="1:10" s="35" customFormat="1" ht="30" customHeight="1">
      <c r="A252" s="37"/>
      <c r="B252" s="37"/>
      <c r="C252" s="38"/>
      <c r="D252" s="39"/>
      <c r="E252" s="17"/>
      <c r="F252" s="65"/>
      <c r="G252" s="40"/>
      <c r="H252" s="40"/>
      <c r="J252" s="90"/>
    </row>
    <row r="253" spans="1:10" s="35" customFormat="1" ht="30" customHeight="1">
      <c r="A253" s="37"/>
      <c r="B253" s="37"/>
      <c r="C253" s="38"/>
      <c r="D253" s="39"/>
      <c r="E253" s="17"/>
      <c r="F253" s="65"/>
      <c r="G253" s="40"/>
      <c r="H253" s="40"/>
      <c r="J253" s="90"/>
    </row>
    <row r="254" spans="1:10" s="35" customFormat="1" ht="30" customHeight="1">
      <c r="A254" s="37"/>
      <c r="B254" s="37"/>
      <c r="C254" s="38"/>
      <c r="D254" s="39"/>
      <c r="E254" s="17"/>
      <c r="F254" s="65"/>
      <c r="G254" s="40"/>
      <c r="H254" s="40"/>
      <c r="J254" s="90"/>
    </row>
    <row r="255" spans="1:10" s="35" customFormat="1" ht="30" customHeight="1">
      <c r="A255" s="37"/>
      <c r="B255" s="37"/>
      <c r="C255" s="38"/>
      <c r="D255" s="39"/>
      <c r="E255" s="17"/>
      <c r="F255" s="65"/>
      <c r="G255" s="40"/>
      <c r="H255" s="40"/>
      <c r="J255" s="90"/>
    </row>
    <row r="256" spans="1:10" s="35" customFormat="1" ht="30" customHeight="1">
      <c r="A256" s="37"/>
      <c r="B256" s="37"/>
      <c r="C256" s="38"/>
      <c r="D256" s="39"/>
      <c r="E256" s="17"/>
      <c r="F256" s="65"/>
      <c r="G256" s="40"/>
      <c r="H256" s="40"/>
      <c r="J256" s="90"/>
    </row>
    <row r="257" spans="1:10" s="35" customFormat="1" ht="30" customHeight="1">
      <c r="A257" s="37"/>
      <c r="B257" s="37"/>
      <c r="C257" s="38"/>
      <c r="D257" s="39"/>
      <c r="E257" s="17"/>
      <c r="F257" s="65"/>
      <c r="G257" s="40"/>
      <c r="H257" s="40"/>
      <c r="J257" s="90"/>
    </row>
    <row r="258" spans="1:10" s="35" customFormat="1" ht="30" customHeight="1">
      <c r="A258" s="37"/>
      <c r="B258" s="37"/>
      <c r="C258" s="38"/>
      <c r="D258" s="39"/>
      <c r="E258" s="17"/>
      <c r="F258" s="65"/>
      <c r="G258" s="40"/>
      <c r="H258" s="40"/>
      <c r="J258" s="90"/>
    </row>
    <row r="259" spans="1:10" s="35" customFormat="1" ht="30" customHeight="1">
      <c r="A259" s="37"/>
      <c r="B259" s="37"/>
      <c r="C259" s="38"/>
      <c r="D259" s="39"/>
      <c r="E259" s="17"/>
      <c r="F259" s="65"/>
      <c r="G259" s="40"/>
      <c r="H259" s="40"/>
      <c r="J259" s="90"/>
    </row>
    <row r="260" spans="1:10" s="35" customFormat="1" ht="30" customHeight="1">
      <c r="A260" s="37"/>
      <c r="B260" s="37"/>
      <c r="C260" s="38"/>
      <c r="D260" s="39"/>
      <c r="E260" s="17"/>
      <c r="F260" s="65"/>
      <c r="G260" s="40"/>
      <c r="H260" s="40"/>
      <c r="J260" s="90"/>
    </row>
    <row r="261" spans="1:10" s="35" customFormat="1" ht="30" customHeight="1">
      <c r="A261" s="37"/>
      <c r="B261" s="37"/>
      <c r="C261" s="38"/>
      <c r="D261" s="39"/>
      <c r="E261" s="17"/>
      <c r="F261" s="65"/>
      <c r="G261" s="40"/>
      <c r="H261" s="40"/>
      <c r="J261" s="90"/>
    </row>
    <row r="262" spans="1:10" s="35" customFormat="1" ht="30" customHeight="1">
      <c r="A262" s="37"/>
      <c r="B262" s="37"/>
      <c r="C262" s="38"/>
      <c r="D262" s="39"/>
      <c r="E262" s="17"/>
      <c r="F262" s="65"/>
      <c r="G262" s="40"/>
      <c r="H262" s="40"/>
      <c r="J262" s="90"/>
    </row>
    <row r="263" spans="1:10" s="35" customFormat="1" ht="30" customHeight="1">
      <c r="A263" s="37"/>
      <c r="B263" s="37"/>
      <c r="C263" s="38"/>
      <c r="D263" s="39"/>
      <c r="E263" s="17"/>
      <c r="F263" s="65"/>
      <c r="G263" s="40"/>
      <c r="H263" s="40"/>
      <c r="J263" s="90"/>
    </row>
    <row r="264" spans="1:10" s="35" customFormat="1" ht="30" customHeight="1">
      <c r="A264" s="37"/>
      <c r="B264" s="37"/>
      <c r="C264" s="38"/>
      <c r="D264" s="39"/>
      <c r="E264" s="17"/>
      <c r="F264" s="65"/>
      <c r="G264" s="40"/>
      <c r="H264" s="40"/>
      <c r="J264" s="90"/>
    </row>
    <row r="265" spans="1:10" s="35" customFormat="1" ht="30" customHeight="1">
      <c r="A265" s="37"/>
      <c r="B265" s="37"/>
      <c r="C265" s="38"/>
      <c r="D265" s="39"/>
      <c r="E265" s="17"/>
      <c r="F265" s="65"/>
      <c r="G265" s="40"/>
      <c r="H265" s="40"/>
      <c r="J265" s="90"/>
    </row>
    <row r="266" spans="1:10" s="35" customFormat="1" ht="30" customHeight="1">
      <c r="A266" s="37"/>
      <c r="B266" s="37"/>
      <c r="C266" s="38"/>
      <c r="D266" s="39"/>
      <c r="E266" s="17"/>
      <c r="F266" s="65"/>
      <c r="G266" s="40"/>
      <c r="H266" s="40"/>
      <c r="J266" s="90"/>
    </row>
  </sheetData>
  <sheetProtection/>
  <mergeCells count="32">
    <mergeCell ref="A1:H1"/>
    <mergeCell ref="A2:H2"/>
    <mergeCell ref="A3:H3"/>
    <mergeCell ref="A5:A6"/>
    <mergeCell ref="B5:B6"/>
    <mergeCell ref="H5:H6"/>
    <mergeCell ref="E5:F5"/>
    <mergeCell ref="G5:G6"/>
    <mergeCell ref="D135:G135"/>
    <mergeCell ref="A90:G90"/>
    <mergeCell ref="D5:D6"/>
    <mergeCell ref="C5:C6"/>
    <mergeCell ref="D133:G133"/>
    <mergeCell ref="D152:G152"/>
    <mergeCell ref="B7:H7"/>
    <mergeCell ref="B91:H91"/>
    <mergeCell ref="A216:G216"/>
    <mergeCell ref="D30:G30"/>
    <mergeCell ref="D89:G89"/>
    <mergeCell ref="D75:G75"/>
    <mergeCell ref="D137:G137"/>
    <mergeCell ref="D134:G134"/>
    <mergeCell ref="D41:G41"/>
    <mergeCell ref="D84:G84"/>
    <mergeCell ref="D136:G136"/>
    <mergeCell ref="D164:G164"/>
    <mergeCell ref="A214:G214"/>
    <mergeCell ref="D212:G212"/>
    <mergeCell ref="A213:G213"/>
    <mergeCell ref="D143:G143"/>
    <mergeCell ref="D183:G183"/>
    <mergeCell ref="A215:G215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600" verticalDpi="600" orientation="portrait" paperSize="9" scale="85" r:id="rId1"/>
  <rowBreaks count="7" manualBreakCount="7">
    <brk id="30" max="255" man="1"/>
    <brk id="58" max="7" man="1"/>
    <brk id="90" max="255" man="1"/>
    <brk id="119" max="7" man="1"/>
    <brk id="152" max="7" man="1"/>
    <brk id="178" max="7" man="1"/>
    <brk id="2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I44"/>
  <sheetViews>
    <sheetView tabSelected="1" view="pageBreakPreview" zoomScale="115" zoomScaleSheetLayoutView="115" zoomScalePageLayoutView="0" workbookViewId="0" topLeftCell="A7">
      <selection activeCell="H15" sqref="H15"/>
    </sheetView>
  </sheetViews>
  <sheetFormatPr defaultColWidth="9.00390625" defaultRowHeight="12.75"/>
  <cols>
    <col min="1" max="2" width="9.125" style="1" customWidth="1"/>
    <col min="3" max="3" width="10.125" style="1" customWidth="1"/>
    <col min="4" max="4" width="14.125" style="1" customWidth="1"/>
    <col min="5" max="16384" width="9.125" style="1" customWidth="1"/>
  </cols>
  <sheetData>
    <row r="1" spans="1:2" ht="12.75">
      <c r="A1" s="153" t="s">
        <v>231</v>
      </c>
      <c r="B1" s="153"/>
    </row>
    <row r="2" spans="1:2" ht="12.75">
      <c r="A2" s="153" t="s">
        <v>233</v>
      </c>
      <c r="B2" s="153"/>
    </row>
    <row r="3" spans="1:2" ht="12.75">
      <c r="A3" s="153" t="s">
        <v>232</v>
      </c>
      <c r="B3" s="153"/>
    </row>
    <row r="4" spans="1:2" ht="12.75">
      <c r="A4" s="153" t="s">
        <v>235</v>
      </c>
      <c r="B4" s="153"/>
    </row>
    <row r="5" spans="1:2" ht="12.75">
      <c r="A5" s="154" t="s">
        <v>234</v>
      </c>
      <c r="B5" s="154"/>
    </row>
    <row r="9" spans="1:9" ht="26.25" customHeight="1">
      <c r="A9" s="152" t="s">
        <v>397</v>
      </c>
      <c r="B9" s="152"/>
      <c r="C9" s="152"/>
      <c r="D9" s="152"/>
      <c r="E9" s="152"/>
      <c r="F9" s="152"/>
      <c r="G9" s="152"/>
      <c r="H9" s="152"/>
      <c r="I9" s="152"/>
    </row>
    <row r="12" spans="1:9" ht="12.75" customHeight="1">
      <c r="A12" s="203"/>
      <c r="B12" s="203"/>
      <c r="C12" s="203"/>
      <c r="D12" s="203"/>
      <c r="E12" s="203"/>
      <c r="F12" s="203"/>
      <c r="G12" s="203"/>
      <c r="H12" s="3"/>
      <c r="I12" s="3"/>
    </row>
    <row r="13" spans="1:9" ht="12.75" customHeight="1">
      <c r="A13" s="202" t="str">
        <f>'[1]PRZEDMIAR'!A2</f>
        <v>Remont mostu łączącego drogi na działkach ewidencyjnych nr 729/1 oraz 2708 w Posadzie Jaśliskiej. Kilometraż obiektu: 0+053</v>
      </c>
      <c r="B13" s="202"/>
      <c r="C13" s="202"/>
      <c r="D13" s="202"/>
      <c r="E13" s="202"/>
      <c r="F13" s="202"/>
      <c r="G13" s="202"/>
      <c r="H13" s="202"/>
      <c r="I13" s="202"/>
    </row>
    <row r="14" spans="1:9" ht="57.75" customHeight="1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7" ht="20.25">
      <c r="A15" s="202"/>
      <c r="B15" s="202"/>
      <c r="C15" s="202"/>
      <c r="D15" s="202"/>
      <c r="E15" s="202"/>
      <c r="F15" s="202"/>
      <c r="G15" s="202"/>
    </row>
    <row r="18" spans="1:5" ht="19.5" customHeight="1">
      <c r="A18" s="4" t="s">
        <v>86</v>
      </c>
      <c r="D18" s="5" t="str">
        <f>OFERTOWY!H118</f>
        <v> </v>
      </c>
      <c r="E18" s="1" t="s">
        <v>77</v>
      </c>
    </row>
    <row r="19" spans="1:8" ht="19.5" customHeight="1">
      <c r="A19" s="4" t="s">
        <v>78</v>
      </c>
      <c r="B19" s="196"/>
      <c r="C19" s="197"/>
      <c r="D19" s="197"/>
      <c r="E19" s="197"/>
      <c r="F19" s="197"/>
      <c r="G19" s="197"/>
      <c r="H19" s="198"/>
    </row>
    <row r="20" spans="2:8" ht="19.5" customHeight="1">
      <c r="B20" s="199"/>
      <c r="C20" s="200"/>
      <c r="D20" s="200"/>
      <c r="E20" s="200"/>
      <c r="F20" s="200"/>
      <c r="G20" s="200"/>
      <c r="H20" s="201"/>
    </row>
    <row r="21" ht="19.5" customHeight="1"/>
    <row r="23" spans="1:5" ht="19.5" customHeight="1">
      <c r="A23" s="4" t="s">
        <v>86</v>
      </c>
      <c r="D23" s="5" t="str">
        <f>OFERTOWY!H120</f>
        <v> </v>
      </c>
      <c r="E23" s="1" t="s">
        <v>401</v>
      </c>
    </row>
    <row r="24" spans="1:8" ht="19.5" customHeight="1">
      <c r="A24" s="4" t="s">
        <v>78</v>
      </c>
      <c r="B24" s="196"/>
      <c r="C24" s="197"/>
      <c r="D24" s="197"/>
      <c r="E24" s="197"/>
      <c r="F24" s="197"/>
      <c r="G24" s="197"/>
      <c r="H24" s="198"/>
    </row>
    <row r="25" spans="2:8" ht="19.5" customHeight="1">
      <c r="B25" s="199"/>
      <c r="C25" s="200"/>
      <c r="D25" s="200"/>
      <c r="E25" s="200"/>
      <c r="F25" s="200"/>
      <c r="G25" s="200"/>
      <c r="H25" s="201"/>
    </row>
    <row r="26" ht="19.5" customHeight="1"/>
    <row r="31" spans="1:6" ht="12.75">
      <c r="A31" s="4" t="s">
        <v>9</v>
      </c>
      <c r="F31" s="4" t="s">
        <v>398</v>
      </c>
    </row>
    <row r="36" spans="1:8" ht="12.75">
      <c r="A36" s="153" t="s">
        <v>399</v>
      </c>
      <c r="B36" s="153"/>
      <c r="C36" s="153"/>
      <c r="F36" s="153" t="s">
        <v>399</v>
      </c>
      <c r="G36" s="153"/>
      <c r="H36" s="153"/>
    </row>
    <row r="37" spans="1:8" ht="12.75">
      <c r="A37" s="154" t="s">
        <v>10</v>
      </c>
      <c r="B37" s="154"/>
      <c r="C37" s="154"/>
      <c r="F37" s="154" t="s">
        <v>10</v>
      </c>
      <c r="G37" s="154"/>
      <c r="H37" s="154"/>
    </row>
    <row r="44" ht="12.75">
      <c r="D44" s="1" t="s">
        <v>400</v>
      </c>
    </row>
  </sheetData>
  <sheetProtection/>
  <mergeCells count="15">
    <mergeCell ref="A3:B3"/>
    <mergeCell ref="A2:B2"/>
    <mergeCell ref="A1:B1"/>
    <mergeCell ref="A5:B5"/>
    <mergeCell ref="A9:I9"/>
    <mergeCell ref="A12:G12"/>
    <mergeCell ref="B24:H25"/>
    <mergeCell ref="A15:G15"/>
    <mergeCell ref="A13:I14"/>
    <mergeCell ref="A36:C36"/>
    <mergeCell ref="A37:C37"/>
    <mergeCell ref="A4:B4"/>
    <mergeCell ref="B19:H20"/>
    <mergeCell ref="F36:H36"/>
    <mergeCell ref="F37:H37"/>
  </mergeCells>
  <printOptions/>
  <pageMargins left="0.75" right="0.61" top="1" bottom="1" header="0.5" footer="0.5"/>
  <pageSetup horizontalDpi="600" verticalDpi="600" orientation="portrait" paperSize="9" scale="98" r:id="rId1"/>
  <headerFooter alignWithMargins="0">
    <oddFooter>&amp;RStrona&amp;P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F28"/>
  <sheetViews>
    <sheetView view="pageBreakPreview" zoomScale="145" zoomScaleSheetLayoutView="145" zoomScalePageLayoutView="0" workbookViewId="0" topLeftCell="A1">
      <selection activeCell="C26" sqref="C26"/>
    </sheetView>
  </sheetViews>
  <sheetFormatPr defaultColWidth="9.00390625" defaultRowHeight="12.75"/>
  <cols>
    <col min="1" max="1" width="8.375" style="7" bestFit="1" customWidth="1"/>
    <col min="2" max="2" width="57.25390625" style="7" customWidth="1"/>
    <col min="3" max="3" width="23.125" style="7" customWidth="1"/>
    <col min="4" max="4" width="9.75390625" style="7" customWidth="1"/>
    <col min="5" max="5" width="11.125" style="7" customWidth="1"/>
    <col min="6" max="6" width="12.75390625" style="7" customWidth="1"/>
    <col min="7" max="16384" width="9.125" style="7" customWidth="1"/>
  </cols>
  <sheetData>
    <row r="1" spans="1:6" ht="20.25">
      <c r="A1" s="207" t="str">
        <f>'[1]OKŁADKA_O'!A9</f>
        <v>KOSZTORYS OFERTOWY</v>
      </c>
      <c r="B1" s="207"/>
      <c r="C1" s="207"/>
      <c r="D1" s="6"/>
      <c r="E1" s="6"/>
      <c r="F1" s="6"/>
    </row>
    <row r="2" ht="15.75" customHeight="1"/>
    <row r="3" spans="1:6" ht="20.25">
      <c r="A3" s="208" t="s">
        <v>11</v>
      </c>
      <c r="B3" s="208"/>
      <c r="C3" s="208"/>
      <c r="D3" s="6"/>
      <c r="E3" s="6"/>
      <c r="F3" s="6"/>
    </row>
    <row r="4" ht="15.75" customHeight="1"/>
    <row r="5" spans="1:6" ht="57.75" customHeight="1">
      <c r="A5" s="209" t="str">
        <f>'[1]OKŁADKA_O'!A13</f>
        <v>Remont mostu łączącego drogi na działkach ewidencyjnych nr 729/1 oraz 2708 w Posadzie Jaśliskiej. Kilometraż obiektu: 0+053</v>
      </c>
      <c r="B5" s="209"/>
      <c r="C5" s="209"/>
      <c r="D5" s="8"/>
      <c r="E5" s="8"/>
      <c r="F5" s="8"/>
    </row>
    <row r="7" spans="1:3" s="9" customFormat="1" ht="36">
      <c r="A7" s="12" t="s">
        <v>87</v>
      </c>
      <c r="B7" s="12" t="s">
        <v>12</v>
      </c>
      <c r="C7" s="13" t="s">
        <v>13</v>
      </c>
    </row>
    <row r="8" spans="1:3" s="99" customFormat="1" ht="30" customHeight="1">
      <c r="A8" s="96" t="str">
        <f>'[1]OFERTOWY'!A7</f>
        <v>1.</v>
      </c>
      <c r="B8" s="100" t="str">
        <f>'[1]OFERTOWY'!B7</f>
        <v>ROBOTY DROGOWE</v>
      </c>
      <c r="C8" s="98" t="str">
        <f>OFERTOWY!H47</f>
        <v> </v>
      </c>
    </row>
    <row r="9" spans="1:3" ht="30" customHeight="1">
      <c r="A9" s="89" t="str">
        <f>'[1]OFERTOWY'!A8</f>
        <v>1.1</v>
      </c>
      <c r="B9" s="89" t="str">
        <f>'[1]OFERTOWY'!D8</f>
        <v>ROBOTY PRZYGOTOWAWCZE</v>
      </c>
      <c r="C9" s="95" t="str">
        <f>OFERTOWY!H18</f>
        <v> </v>
      </c>
    </row>
    <row r="10" spans="1:3" ht="30" customHeight="1">
      <c r="A10" s="89" t="str">
        <f>'[1]OFERTOWY'!A19</f>
        <v>1.2</v>
      </c>
      <c r="B10" s="89" t="str">
        <f>'[1]OFERTOWY'!D19</f>
        <v>ROBOTY ZIEMNE</v>
      </c>
      <c r="C10" s="95" t="str">
        <f>OFERTOWY!H23</f>
        <v> </v>
      </c>
    </row>
    <row r="11" spans="1:3" ht="30" customHeight="1">
      <c r="A11" s="89" t="str">
        <f>'[1]OFERTOWY'!A24</f>
        <v>1.3</v>
      </c>
      <c r="B11" s="89" t="str">
        <f>'[1]OFERTOWY'!D24</f>
        <v>PODBUDOWY</v>
      </c>
      <c r="C11" s="95" t="str">
        <f>OFERTOWY!H36</f>
        <v> </v>
      </c>
    </row>
    <row r="12" spans="1:3" ht="30" customHeight="1">
      <c r="A12" s="89" t="str">
        <f>'[1]OFERTOWY'!A37</f>
        <v>1.4</v>
      </c>
      <c r="B12" s="89" t="str">
        <f>'[1]OFERTOWY'!D37</f>
        <v>NAWIERZCHNIE</v>
      </c>
      <c r="C12" s="95" t="str">
        <f>OFERTOWY!H42</f>
        <v> </v>
      </c>
    </row>
    <row r="13" spans="1:3" ht="30" customHeight="1">
      <c r="A13" s="89" t="str">
        <f>'[1]OFERTOWY'!A43</f>
        <v>1.5</v>
      </c>
      <c r="B13" s="89" t="str">
        <f>'[1]OFERTOWY'!D43</f>
        <v>ROBOTY WYKOŃCZENIOWE</v>
      </c>
      <c r="C13" s="95" t="str">
        <f>OFERTOWY!H46</f>
        <v> </v>
      </c>
    </row>
    <row r="14" spans="1:3" s="99" customFormat="1" ht="30" customHeight="1">
      <c r="A14" s="96" t="str">
        <f>'[1]OFERTOWY'!A48</f>
        <v>2.</v>
      </c>
      <c r="B14" s="97" t="str">
        <f>'[1]OFERTOWY'!B48</f>
        <v>ROBOTY MOSTOWE</v>
      </c>
      <c r="C14" s="98" t="str">
        <f>OFERTOWY!H117</f>
        <v> </v>
      </c>
    </row>
    <row r="15" spans="1:3" ht="30" customHeight="1">
      <c r="A15" s="89" t="str">
        <f>'[1]OFERTOWY'!A50</f>
        <v>2.1</v>
      </c>
      <c r="B15" s="89" t="str">
        <f>'[1]OFERTOWY'!D50</f>
        <v>ŁAWY FUNDAMENTOWE</v>
      </c>
      <c r="C15" s="95" t="str">
        <f>OFERTOWY!H54</f>
        <v> </v>
      </c>
    </row>
    <row r="16" spans="1:3" ht="30" customHeight="1">
      <c r="A16" s="89" t="str">
        <f>'[1]OFERTOWY'!A56</f>
        <v>2.2</v>
      </c>
      <c r="B16" s="89" t="str">
        <f>'[1]OFERTOWY'!D56</f>
        <v>PRZYCZÓŁKI</v>
      </c>
      <c r="C16" s="95" t="str">
        <f>OFERTOWY!H60</f>
        <v> </v>
      </c>
    </row>
    <row r="17" spans="1:3" ht="30" customHeight="1">
      <c r="A17" s="89" t="str">
        <f>'[1]OFERTOWY'!A61</f>
        <v>2.3</v>
      </c>
      <c r="B17" s="89" t="str">
        <f>'[1]OFERTOWY'!D61</f>
        <v>USTROJE NOŚNE</v>
      </c>
      <c r="C17" s="95" t="str">
        <f>OFERTOWY!H68</f>
        <v> </v>
      </c>
    </row>
    <row r="18" spans="1:3" ht="30" customHeight="1">
      <c r="A18" s="89" t="str">
        <f>'[1]OFERTOWY'!A69</f>
        <v>2.4</v>
      </c>
      <c r="B18" s="89" t="str">
        <f>'[1]OFERTOWY'!D69</f>
        <v>PŁYTY POMOSTU ZESPOLONE Z KONSTRUKCJĄ STALOWĄ</v>
      </c>
      <c r="C18" s="95" t="str">
        <f>OFERTOWY!H73</f>
        <v> </v>
      </c>
    </row>
    <row r="19" spans="1:3" ht="30" customHeight="1">
      <c r="A19" s="89" t="str">
        <f>'[1]OFERTOWY'!A74</f>
        <v>2.5</v>
      </c>
      <c r="B19" s="89" t="str">
        <f>'[1]OFERTOWY'!D74</f>
        <v>URZĄDZENIA DYLATACYJNE</v>
      </c>
      <c r="C19" s="95" t="str">
        <f>OFERTOWY!H77</f>
        <v> </v>
      </c>
    </row>
    <row r="20" spans="1:3" ht="30" customHeight="1">
      <c r="A20" s="89" t="str">
        <f>'[1]OFERTOWY'!A78</f>
        <v>2.6</v>
      </c>
      <c r="B20" s="89" t="str">
        <f>'[1]OFERTOWY'!D78</f>
        <v>ODWODNIENIE</v>
      </c>
      <c r="C20" s="95" t="str">
        <f>OFERTOWY!H83</f>
        <v> </v>
      </c>
    </row>
    <row r="21" spans="1:3" ht="30" customHeight="1">
      <c r="A21" s="89" t="str">
        <f>'[1]OFERTOWY'!A84</f>
        <v>2.7</v>
      </c>
      <c r="B21" s="89" t="str">
        <f>'[1]OFERTOWY'!D84</f>
        <v>HYDROIZOLACJA</v>
      </c>
      <c r="C21" s="95" t="str">
        <f>OFERTOWY!H91</f>
        <v> </v>
      </c>
    </row>
    <row r="22" spans="1:3" ht="30" customHeight="1">
      <c r="A22" s="89" t="str">
        <f>'[1]OFERTOWY'!A92</f>
        <v>2.8</v>
      </c>
      <c r="B22" s="89" t="str">
        <f>'[1]OFERTOWY'!D92</f>
        <v>WYPOSAŻENIE</v>
      </c>
      <c r="C22" s="95" t="str">
        <f>OFERTOWY!H100</f>
        <v> </v>
      </c>
    </row>
    <row r="23" spans="1:3" ht="30" customHeight="1">
      <c r="A23" s="89" t="str">
        <f>'[1]OFERTOWY'!A101</f>
        <v>2.9</v>
      </c>
      <c r="B23" s="89" t="str">
        <f>'[1]OFERTOWY'!D101</f>
        <v>ROBOTY PRZYOBIEKTOWE</v>
      </c>
      <c r="C23" s="95" t="str">
        <f>OFERTOWY!H106</f>
        <v> </v>
      </c>
    </row>
    <row r="24" spans="1:3" ht="30" customHeight="1">
      <c r="A24" s="89" t="str">
        <f>'[1]OFERTOWY'!A107</f>
        <v>2.10</v>
      </c>
      <c r="B24" s="89" t="str">
        <f>'[1]OFERTOWY'!D107</f>
        <v>ROBOTY REGULACYJNE</v>
      </c>
      <c r="C24" s="95" t="str">
        <f>OFERTOWY!H112</f>
        <v> </v>
      </c>
    </row>
    <row r="25" spans="1:3" ht="30" customHeight="1">
      <c r="A25" s="89" t="str">
        <f>'[1]OFERTOWY'!A113</f>
        <v>2.11</v>
      </c>
      <c r="B25" s="89" t="str">
        <f>'[1]OFERTOWY'!D113</f>
        <v>ROBOTY NAWIERZCHNIOWE I ZABEZPIECZAJĄCE</v>
      </c>
      <c r="C25" s="95" t="str">
        <f>OFERTOWY!H116</f>
        <v> </v>
      </c>
    </row>
    <row r="26" spans="1:3" s="99" customFormat="1" ht="30" customHeight="1">
      <c r="A26" s="206" t="s">
        <v>5</v>
      </c>
      <c r="B26" s="206"/>
      <c r="C26" s="98" t="str">
        <f>IF(SUM(C8,C14)=0," ",(SUM(C8,C14)))</f>
        <v> </v>
      </c>
    </row>
    <row r="27" spans="1:3" s="99" customFormat="1" ht="30" customHeight="1">
      <c r="A27" s="204" t="s">
        <v>402</v>
      </c>
      <c r="B27" s="205"/>
      <c r="C27" s="98" t="str">
        <f>IF(C26=" "," ",ROUND(C26*OFERTOWY!G119,2))</f>
        <v> </v>
      </c>
    </row>
    <row r="28" spans="1:3" s="99" customFormat="1" ht="30" customHeight="1">
      <c r="A28" s="206" t="s">
        <v>14</v>
      </c>
      <c r="B28" s="206"/>
      <c r="C28" s="98" t="str">
        <f>IF(SUM(C26:C27)=0," ",SUM(C26:C27))</f>
        <v> </v>
      </c>
    </row>
    <row r="29" ht="30" customHeight="1"/>
    <row r="30" ht="30" customHeight="1"/>
    <row r="31" ht="30" customHeight="1"/>
  </sheetData>
  <sheetProtection/>
  <mergeCells count="6">
    <mergeCell ref="A27:B27"/>
    <mergeCell ref="A28:B28"/>
    <mergeCell ref="A1:C1"/>
    <mergeCell ref="A3:C3"/>
    <mergeCell ref="A5:C5"/>
    <mergeCell ref="A26:B26"/>
  </mergeCells>
  <printOptions/>
  <pageMargins left="0.7874015748031497" right="0.7874015748031497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L165"/>
  <sheetViews>
    <sheetView view="pageBreakPreview" zoomScaleNormal="145" zoomScaleSheetLayoutView="100" zoomScalePageLayoutView="0" workbookViewId="0" topLeftCell="A1">
      <selection activeCell="A117" sqref="A117:G117"/>
    </sheetView>
  </sheetViews>
  <sheetFormatPr defaultColWidth="9.00390625" defaultRowHeight="12.75"/>
  <cols>
    <col min="1" max="1" width="4.75390625" style="37" customWidth="1"/>
    <col min="2" max="2" width="13.00390625" style="37" customWidth="1"/>
    <col min="3" max="3" width="8.00390625" style="38" customWidth="1"/>
    <col min="4" max="4" width="66.875" style="39" customWidth="1"/>
    <col min="5" max="5" width="10.00390625" style="17" customWidth="1"/>
    <col min="6" max="6" width="11.125" style="65" customWidth="1"/>
    <col min="7" max="7" width="12.875" style="40" customWidth="1"/>
    <col min="8" max="8" width="12.75390625" style="40" customWidth="1"/>
    <col min="9" max="9" width="9.125" style="17" customWidth="1"/>
    <col min="10" max="10" width="15.25390625" style="17" customWidth="1"/>
    <col min="11" max="11" width="9.125" style="17" customWidth="1"/>
    <col min="12" max="12" width="10.375" style="17" customWidth="1"/>
    <col min="13" max="16384" width="9.125" style="17" customWidth="1"/>
  </cols>
  <sheetData>
    <row r="1" spans="1:8" ht="24.75" customHeight="1">
      <c r="A1" s="188" t="str">
        <f>OKŁADKA_OFERTOWY!A9</f>
        <v>KOSZTORYS OFERTOWY</v>
      </c>
      <c r="B1" s="189"/>
      <c r="C1" s="189"/>
      <c r="D1" s="189"/>
      <c r="E1" s="189"/>
      <c r="F1" s="189"/>
      <c r="G1" s="189"/>
      <c r="H1" s="189"/>
    </row>
    <row r="2" spans="1:8" ht="43.5" customHeight="1">
      <c r="A2" s="188" t="str">
        <f>OKŁADKA_P!A12</f>
        <v>Remont mostu łączącego drogi na działkach ewidencyjnych nr 729/1 oraz 2708 w Posadzie Jaśliskiej. Kilometraż obiektu: 0+053</v>
      </c>
      <c r="B2" s="189"/>
      <c r="C2" s="189"/>
      <c r="D2" s="189"/>
      <c r="E2" s="189"/>
      <c r="F2" s="189"/>
      <c r="G2" s="189"/>
      <c r="H2" s="189"/>
    </row>
    <row r="3" spans="1:8" ht="30" customHeight="1">
      <c r="A3" s="190" t="s">
        <v>163</v>
      </c>
      <c r="B3" s="191"/>
      <c r="C3" s="191"/>
      <c r="D3" s="191"/>
      <c r="E3" s="191"/>
      <c r="F3" s="191"/>
      <c r="G3" s="191"/>
      <c r="H3" s="191"/>
    </row>
    <row r="4" spans="1:8" ht="15" customHeight="1">
      <c r="A4" s="18"/>
      <c r="B4" s="18"/>
      <c r="C4" s="19"/>
      <c r="D4" s="20"/>
      <c r="E4" s="20"/>
      <c r="F4" s="63"/>
      <c r="G4" s="21"/>
      <c r="H4" s="21"/>
    </row>
    <row r="5" spans="1:8" ht="21.75" customHeight="1">
      <c r="A5" s="192" t="s">
        <v>3</v>
      </c>
      <c r="B5" s="193" t="s">
        <v>24</v>
      </c>
      <c r="C5" s="184" t="s">
        <v>25</v>
      </c>
      <c r="D5" s="182" t="s">
        <v>20</v>
      </c>
      <c r="E5" s="195" t="s">
        <v>15</v>
      </c>
      <c r="F5" s="195"/>
      <c r="G5" s="194" t="s">
        <v>18</v>
      </c>
      <c r="H5" s="194" t="s">
        <v>19</v>
      </c>
    </row>
    <row r="6" spans="1:8" ht="21.75" customHeight="1">
      <c r="A6" s="192"/>
      <c r="B6" s="193"/>
      <c r="C6" s="185"/>
      <c r="D6" s="183"/>
      <c r="E6" s="25" t="s">
        <v>16</v>
      </c>
      <c r="F6" s="59" t="s">
        <v>26</v>
      </c>
      <c r="G6" s="194"/>
      <c r="H6" s="194"/>
    </row>
    <row r="7" spans="1:8" ht="30" customHeight="1">
      <c r="A7" s="108" t="str">
        <f>PRZEDMIAR!A7</f>
        <v>1.</v>
      </c>
      <c r="B7" s="186" t="str">
        <f>PRZEDMIAR!B7</f>
        <v>ROBOTY DROGOWE</v>
      </c>
      <c r="C7" s="186"/>
      <c r="D7" s="186"/>
      <c r="E7" s="186"/>
      <c r="F7" s="186"/>
      <c r="G7" s="186"/>
      <c r="H7" s="187"/>
    </row>
    <row r="8" spans="1:8" s="82" customFormat="1" ht="30" customHeight="1">
      <c r="A8" s="61" t="str">
        <f>PRZEDMIAR!A8</f>
        <v>1.1</v>
      </c>
      <c r="B8" s="61" t="str">
        <f>PRZEDMIAR!B8</f>
        <v>D 01.00.00</v>
      </c>
      <c r="C8" s="61"/>
      <c r="D8" s="62" t="str">
        <f>PRZEDMIAR!D8</f>
        <v>ROBOTY PRZYGOTOWAWCZE</v>
      </c>
      <c r="E8" s="61" t="str">
        <f>PRZEDMIAR!E8</f>
        <v>x</v>
      </c>
      <c r="F8" s="54" t="str">
        <f>PRZEDMIAR!F8</f>
        <v>x</v>
      </c>
      <c r="G8" s="61" t="s">
        <v>17</v>
      </c>
      <c r="H8" s="61" t="s">
        <v>17</v>
      </c>
    </row>
    <row r="9" spans="1:12" s="60" customFormat="1" ht="30" customHeight="1">
      <c r="A9" s="14" t="str">
        <f>PRZEDMIAR!A9</f>
        <v>x</v>
      </c>
      <c r="B9" s="14" t="str">
        <f>PRZEDMIAR!B9</f>
        <v>D 01.01.01</v>
      </c>
      <c r="C9" s="14"/>
      <c r="D9" s="23" t="str">
        <f>PRZEDMIAR!D9</f>
        <v>Odtworzenie (wyznaczenie) trasy i punktów wysokościowych</v>
      </c>
      <c r="E9" s="14" t="str">
        <f>PRZEDMIAR!E9</f>
        <v>x</v>
      </c>
      <c r="F9" s="28" t="str">
        <f>PRZEDMIAR!F9</f>
        <v>x</v>
      </c>
      <c r="G9" s="14" t="s">
        <v>17</v>
      </c>
      <c r="H9" s="14" t="s">
        <v>17</v>
      </c>
      <c r="J9" s="17"/>
      <c r="K9" s="17"/>
      <c r="L9" s="17"/>
    </row>
    <row r="10" spans="1:8" ht="30" customHeight="1">
      <c r="A10" s="10">
        <f>PRZEDMIAR!A10</f>
        <v>1</v>
      </c>
      <c r="B10" s="10" t="str">
        <f>PRZEDMIAR!B10</f>
        <v>D 01.01.01</v>
      </c>
      <c r="C10" s="10">
        <f>PRZEDMIAR!C10</f>
        <v>11</v>
      </c>
      <c r="D10" s="15" t="str">
        <f>PRZEDMIAR!D10</f>
        <v>Wyznaczenie trasy i punktów wysokościowych w terenie równinnym</v>
      </c>
      <c r="E10" s="10" t="str">
        <f>PRZEDMIAR!E10</f>
        <v>km</v>
      </c>
      <c r="F10" s="16">
        <f>PRZEDMIAR!F10</f>
        <v>0.0358</v>
      </c>
      <c r="G10" s="16"/>
      <c r="H10" s="16" t="str">
        <f>IF(ROUND(F10*G10,2)=0," ",ROUND(F10*G10,2))</f>
        <v> </v>
      </c>
    </row>
    <row r="11" spans="1:8" ht="30" customHeight="1">
      <c r="A11" s="10" t="str">
        <f>PRZEDMIAR!A15</f>
        <v>x</v>
      </c>
      <c r="B11" s="14" t="str">
        <f>PRZEDMIAR!B15</f>
        <v>D 01.02.02</v>
      </c>
      <c r="C11" s="23"/>
      <c r="D11" s="23" t="str">
        <f>PRZEDMIAR!D15</f>
        <v>Zdjęcie warstwy humusu lub (i) darniny</v>
      </c>
      <c r="E11" s="14" t="str">
        <f>PRZEDMIAR!E15</f>
        <v>x</v>
      </c>
      <c r="F11" s="14" t="str">
        <f>PRZEDMIAR!F15</f>
        <v>x</v>
      </c>
      <c r="G11" s="14" t="s">
        <v>17</v>
      </c>
      <c r="H11" s="14" t="s">
        <v>17</v>
      </c>
    </row>
    <row r="12" spans="1:8" ht="30" customHeight="1">
      <c r="A12" s="10">
        <f>PRZEDMIAR!A16</f>
        <v>2</v>
      </c>
      <c r="B12" s="10" t="str">
        <f>PRZEDMIAR!B16</f>
        <v>D 01.02.02</v>
      </c>
      <c r="C12" s="10" t="str">
        <f>PRZEDMIAR!C16</f>
        <v>01</v>
      </c>
      <c r="D12" s="15" t="str">
        <f>PRZEDMIAR!D16</f>
        <v>Usunięcie warstwy ziemi urodzajnej (humusu) na odległość do 30 m, grubość warstwy do 15 cm</v>
      </c>
      <c r="E12" s="10" t="str">
        <f>PRZEDMIAR!E16</f>
        <v>m2</v>
      </c>
      <c r="F12" s="10">
        <f>PRZEDMIAR!F16</f>
        <v>47</v>
      </c>
      <c r="G12" s="16"/>
      <c r="H12" s="16" t="str">
        <f>IF(ROUND(F12*G12,2)=0," ",ROUND(F12*G12,2))</f>
        <v> </v>
      </c>
    </row>
    <row r="13" spans="1:8" ht="30" customHeight="1">
      <c r="A13" s="14" t="str">
        <f>PRZEDMIAR!A19</f>
        <v>x</v>
      </c>
      <c r="B13" s="14" t="str">
        <f>PRZEDMIAR!B19</f>
        <v>D 01.02.03</v>
      </c>
      <c r="C13" s="14"/>
      <c r="D13" s="23" t="str">
        <f>PRZEDMIAR!D19</f>
        <v>Wyburzenie obiektów budowlanych</v>
      </c>
      <c r="E13" s="14" t="str">
        <f>PRZEDMIAR!E19</f>
        <v>x</v>
      </c>
      <c r="F13" s="28" t="str">
        <f>PRZEDMIAR!F19</f>
        <v>x</v>
      </c>
      <c r="G13" s="14" t="s">
        <v>17</v>
      </c>
      <c r="H13" s="14" t="s">
        <v>17</v>
      </c>
    </row>
    <row r="14" spans="1:12" s="60" customFormat="1" ht="30" customHeight="1">
      <c r="A14" s="10">
        <f>PRZEDMIAR!A20</f>
        <v>3</v>
      </c>
      <c r="B14" s="10" t="str">
        <f>PRZEDMIAR!B20</f>
        <v>D 01.02.03</v>
      </c>
      <c r="C14" s="10">
        <f>PRZEDMIAR!C20</f>
        <v>11</v>
      </c>
      <c r="D14" s="15" t="str">
        <f>PRZEDMIAR!D20</f>
        <v>Rozbiórki obiektów kubaturowych wraz z odwozem elementów i gruzu na składowisko Wykonawcy - elementy betonowe i żelbetowe</v>
      </c>
      <c r="E14" s="10" t="str">
        <f>PRZEDMIAR!E20</f>
        <v>m3</v>
      </c>
      <c r="F14" s="16">
        <f>PRZEDMIAR!F20</f>
        <v>21.3</v>
      </c>
      <c r="G14" s="16"/>
      <c r="H14" s="16" t="str">
        <f>IF(ROUND(F14*G14,2)=0," ",ROUND(F14*G14,2))</f>
        <v> </v>
      </c>
      <c r="J14" s="17"/>
      <c r="K14" s="17"/>
      <c r="L14" s="17"/>
    </row>
    <row r="15" spans="1:8" ht="30" customHeight="1">
      <c r="A15" s="10">
        <f>PRZEDMIAR!A23</f>
        <v>4</v>
      </c>
      <c r="B15" s="10" t="str">
        <f>PRZEDMIAR!B23</f>
        <v>D 01.02.03</v>
      </c>
      <c r="C15" s="10">
        <f>PRZEDMIAR!C23</f>
        <v>11</v>
      </c>
      <c r="D15" s="15" t="str">
        <f>PRZEDMIAR!D23</f>
        <v>Rozbiórka rusztu stalowego konstrukcji nośnej mostu (dźwigary nośne wraz z poprzecznicami) - materiał częściowo do ponownego wykorzystania</v>
      </c>
      <c r="E15" s="10" t="str">
        <f>PRZEDMIAR!E23</f>
        <v>szt.</v>
      </c>
      <c r="F15" s="16">
        <f>PRZEDMIAR!F23</f>
        <v>4</v>
      </c>
      <c r="G15" s="16"/>
      <c r="H15" s="16" t="str">
        <f>IF(ROUND(F15*G15,2)=0," ",ROUND(F15*G15,2))</f>
        <v> </v>
      </c>
    </row>
    <row r="16" spans="1:8" ht="30" customHeight="1">
      <c r="A16" s="14" t="str">
        <f>PRZEDMIAR!A26</f>
        <v>x</v>
      </c>
      <c r="B16" s="14" t="str">
        <f>PRZEDMIAR!B26</f>
        <v>D 01.02.04</v>
      </c>
      <c r="C16" s="14"/>
      <c r="D16" s="23" t="str">
        <f>PRZEDMIAR!D26</f>
        <v>Rozbiórka elementów dróg, ogrodzeń i przepustów</v>
      </c>
      <c r="E16" s="14" t="str">
        <f>PRZEDMIAR!E26</f>
        <v>x</v>
      </c>
      <c r="F16" s="28" t="str">
        <f>PRZEDMIAR!F26</f>
        <v>x</v>
      </c>
      <c r="G16" s="14" t="s">
        <v>17</v>
      </c>
      <c r="H16" s="14" t="s">
        <v>17</v>
      </c>
    </row>
    <row r="17" spans="1:8" ht="30" customHeight="1">
      <c r="A17" s="10">
        <f>PRZEDMIAR!A27</f>
        <v>5</v>
      </c>
      <c r="B17" s="10" t="str">
        <f>PRZEDMIAR!B27</f>
        <v>D 01.02.04</v>
      </c>
      <c r="C17" s="10" t="str">
        <f>PRZEDMIAR!C27</f>
        <v>11</v>
      </c>
      <c r="D17" s="15" t="str">
        <f>PRZEDMIAR!D27</f>
        <v>Rozebranie podbudowy z kruszywa o średniej grubości do 40 cm</v>
      </c>
      <c r="E17" s="10" t="str">
        <f>PRZEDMIAR!E27</f>
        <v>m2</v>
      </c>
      <c r="F17" s="16">
        <f>PRZEDMIAR!F27</f>
        <v>49.8</v>
      </c>
      <c r="G17" s="16"/>
      <c r="H17" s="16" t="str">
        <f>IF(ROUND(F17*G17,2)=0," ",ROUND(F17*G17,2))</f>
        <v> </v>
      </c>
    </row>
    <row r="18" spans="1:12" s="60" customFormat="1" ht="30" customHeight="1">
      <c r="A18" s="10"/>
      <c r="B18" s="14"/>
      <c r="C18" s="22"/>
      <c r="D18" s="179" t="str">
        <f>"RAZEM: "&amp;D8&amp;""</f>
        <v>RAZEM: ROBOTY PRZYGOTOWAWCZE</v>
      </c>
      <c r="E18" s="179"/>
      <c r="F18" s="179"/>
      <c r="G18" s="179"/>
      <c r="H18" s="53" t="str">
        <f>IF(SUM(H10,H12,H14:H15,H17)=0," ",SUM(H10,H12,H14:H15,H17))</f>
        <v> </v>
      </c>
      <c r="J18" s="17"/>
      <c r="K18" s="17"/>
      <c r="L18" s="17"/>
    </row>
    <row r="19" spans="1:8" ht="30" customHeight="1">
      <c r="A19" s="61" t="str">
        <f>PRZEDMIAR!A31</f>
        <v>1.2</v>
      </c>
      <c r="B19" s="61" t="str">
        <f>PRZEDMIAR!B31</f>
        <v>D 02.00.00</v>
      </c>
      <c r="C19" s="61"/>
      <c r="D19" s="62" t="str">
        <f>PRZEDMIAR!D31</f>
        <v>ROBOTY ZIEMNE</v>
      </c>
      <c r="E19" s="61" t="str">
        <f>PRZEDMIAR!E31</f>
        <v>x</v>
      </c>
      <c r="F19" s="54" t="str">
        <f>PRZEDMIAR!F31</f>
        <v>x</v>
      </c>
      <c r="G19" s="61" t="s">
        <v>17</v>
      </c>
      <c r="H19" s="61" t="s">
        <v>17</v>
      </c>
    </row>
    <row r="20" spans="1:8" ht="12.75">
      <c r="A20" s="14" t="str">
        <f>PRZEDMIAR!A32</f>
        <v>x</v>
      </c>
      <c r="B20" s="14" t="str">
        <f>PRZEDMIAR!B32</f>
        <v>D 02.01.01</v>
      </c>
      <c r="C20" s="14"/>
      <c r="D20" s="23" t="str">
        <f>PRZEDMIAR!D32</f>
        <v>Wykonanie wykopów w gruntach kategorii I-V</v>
      </c>
      <c r="E20" s="14" t="str">
        <f>PRZEDMIAR!E32</f>
        <v>x</v>
      </c>
      <c r="F20" s="28" t="str">
        <f>PRZEDMIAR!F32</f>
        <v>x</v>
      </c>
      <c r="G20" s="14" t="s">
        <v>17</v>
      </c>
      <c r="H20" s="14" t="s">
        <v>17</v>
      </c>
    </row>
    <row r="21" spans="1:8" ht="30" customHeight="1">
      <c r="A21" s="10">
        <f>PRZEDMIAR!A33</f>
        <v>6</v>
      </c>
      <c r="B21" s="10" t="str">
        <f>PRZEDMIAR!B33</f>
        <v>D 02.01.01</v>
      </c>
      <c r="C21" s="10" t="str">
        <f>PRZEDMIAR!C33</f>
        <v>11</v>
      </c>
      <c r="D21" s="15" t="str">
        <f>PRZEDMIAR!D33</f>
        <v>Roboty ziemne poprzeczne (bez transportu) wykonywane mechanicznie w gr. kat. I-V - wbudowanie w skarpy rzeki</v>
      </c>
      <c r="E21" s="10" t="str">
        <f>PRZEDMIAR!E33</f>
        <v>m3</v>
      </c>
      <c r="F21" s="16">
        <f>PRZEDMIAR!F33</f>
        <v>23</v>
      </c>
      <c r="G21" s="16"/>
      <c r="H21" s="16" t="str">
        <f>IF(ROUND(F21*G21,2)=0," ",ROUND(F21*G21,2))</f>
        <v> </v>
      </c>
    </row>
    <row r="22" spans="1:8" s="82" customFormat="1" ht="30" customHeight="1">
      <c r="A22" s="10">
        <f>PRZEDMIAR!A36</f>
        <v>7</v>
      </c>
      <c r="B22" s="10" t="str">
        <f>PRZEDMIAR!B36</f>
        <v>D 02.01.01</v>
      </c>
      <c r="C22" s="10" t="str">
        <f>PRZEDMIAR!C36</f>
        <v>12</v>
      </c>
      <c r="D22" s="15" t="str">
        <f>PRZEDMIAR!D36</f>
        <v>Wykonanie wykopów w gruntach kategorii I-V z transportem urobku na odkład/nasyp na miejsce składowe Wykonawcy</v>
      </c>
      <c r="E22" s="10" t="str">
        <f>PRZEDMIAR!E36</f>
        <v>m3</v>
      </c>
      <c r="F22" s="16">
        <f>PRZEDMIAR!F36</f>
        <v>78.2</v>
      </c>
      <c r="G22" s="16"/>
      <c r="H22" s="16" t="str">
        <f>IF(ROUND(F22*G22,2)=0," ",ROUND(F22*G22,2))</f>
        <v> </v>
      </c>
    </row>
    <row r="23" spans="1:8" ht="30" customHeight="1">
      <c r="A23" s="25"/>
      <c r="B23" s="14"/>
      <c r="C23" s="22"/>
      <c r="D23" s="179" t="str">
        <f>"RAZEM: "&amp;D19&amp;""</f>
        <v>RAZEM: ROBOTY ZIEMNE</v>
      </c>
      <c r="E23" s="179"/>
      <c r="F23" s="179"/>
      <c r="G23" s="179"/>
      <c r="H23" s="53" t="str">
        <f>IF(SUM(H21:H22)=0," ",SUM(H21:H22))</f>
        <v> </v>
      </c>
    </row>
    <row r="24" spans="1:8" ht="30" customHeight="1">
      <c r="A24" s="61" t="str">
        <f>PRZEDMIAR!A42</f>
        <v>1.3</v>
      </c>
      <c r="B24" s="61" t="str">
        <f>PRZEDMIAR!B42</f>
        <v>D 04.00.00</v>
      </c>
      <c r="C24" s="61"/>
      <c r="D24" s="62" t="str">
        <f>PRZEDMIAR!D42</f>
        <v>PODBUDOWY</v>
      </c>
      <c r="E24" s="61" t="str">
        <f>PRZEDMIAR!E42</f>
        <v>x</v>
      </c>
      <c r="F24" s="54" t="str">
        <f>PRZEDMIAR!F42</f>
        <v>x</v>
      </c>
      <c r="G24" s="61" t="s">
        <v>17</v>
      </c>
      <c r="H24" s="61" t="s">
        <v>17</v>
      </c>
    </row>
    <row r="25" spans="1:8" ht="30" customHeight="1">
      <c r="A25" s="14" t="str">
        <f>PRZEDMIAR!A43</f>
        <v>x</v>
      </c>
      <c r="B25" s="14" t="str">
        <f>PRZEDMIAR!B43</f>
        <v>D 04.01.01</v>
      </c>
      <c r="C25" s="14"/>
      <c r="D25" s="23" t="str">
        <f>PRZEDMIAR!D43</f>
        <v>Koryto wraz z profilowaniem i zagęszczaniem podłoża</v>
      </c>
      <c r="E25" s="14" t="str">
        <f>PRZEDMIAR!E43</f>
        <v>x</v>
      </c>
      <c r="F25" s="28" t="str">
        <f>PRZEDMIAR!F43</f>
        <v>x</v>
      </c>
      <c r="G25" s="16" t="s">
        <v>17</v>
      </c>
      <c r="H25" s="16" t="s">
        <v>17</v>
      </c>
    </row>
    <row r="26" spans="1:8" ht="30" customHeight="1">
      <c r="A26" s="10">
        <f>PRZEDMIAR!A44</f>
        <v>8</v>
      </c>
      <c r="B26" s="10" t="str">
        <f>PRZEDMIAR!B44</f>
        <v>D 04.01.01</v>
      </c>
      <c r="C26" s="10" t="str">
        <f>PRZEDMIAR!C44</f>
        <v>15</v>
      </c>
      <c r="D26" s="15" t="str">
        <f>PRZEDMIAR!D44</f>
        <v>Koryta wykonywane mechanicznie wraz z profilowaniem i zagęszczaniem podłoża w gruntach kat. I-VI, głębokość koryta 49cm</v>
      </c>
      <c r="E26" s="10" t="str">
        <f>PRZEDMIAR!E44</f>
        <v>m2</v>
      </c>
      <c r="F26" s="16">
        <f>PRZEDMIAR!F44</f>
        <v>49.8</v>
      </c>
      <c r="G26" s="16"/>
      <c r="H26" s="16" t="str">
        <f>IF(ROUND(F26*G26,2)=0," ",ROUND(F26*G26,2))</f>
        <v> </v>
      </c>
    </row>
    <row r="27" spans="1:8" ht="30" customHeight="1">
      <c r="A27" s="14" t="str">
        <f>PRZEDMIAR!A47</f>
        <v>x</v>
      </c>
      <c r="B27" s="14" t="str">
        <f>PRZEDMIAR!B47</f>
        <v>D 04.02.02</v>
      </c>
      <c r="C27" s="14"/>
      <c r="D27" s="23" t="str">
        <f>PRZEDMIAR!D47</f>
        <v>Warstwa mrozoochronna</v>
      </c>
      <c r="E27" s="14" t="str">
        <f>PRZEDMIAR!E47</f>
        <v>x</v>
      </c>
      <c r="F27" s="14" t="str">
        <f>PRZEDMIAR!F47</f>
        <v>x</v>
      </c>
      <c r="G27" s="16" t="s">
        <v>17</v>
      </c>
      <c r="H27" s="16" t="s">
        <v>17</v>
      </c>
    </row>
    <row r="28" spans="1:8" ht="30" customHeight="1">
      <c r="A28" s="10">
        <f>PRZEDMIAR!A48</f>
        <v>9</v>
      </c>
      <c r="B28" s="10" t="str">
        <f>PRZEDMIAR!B48</f>
        <v>D 04.02.02</v>
      </c>
      <c r="C28" s="10" t="str">
        <f>PRZEDMIAR!C48</f>
        <v>01</v>
      </c>
      <c r="D28" s="15" t="str">
        <f>PRZEDMIAR!D48</f>
        <v>Wykonanie warstwy mrozoochronnej z piasku, mechanicznie, gr. w-wy do 20cm</v>
      </c>
      <c r="E28" s="10" t="str">
        <f>PRZEDMIAR!E48</f>
        <v>m2</v>
      </c>
      <c r="F28" s="16">
        <f>PRZEDMIAR!F48</f>
        <v>49.8</v>
      </c>
      <c r="G28" s="16"/>
      <c r="H28" s="16" t="str">
        <f>IF(ROUND(F28*G28,2)=0," ",ROUND(F28*G28,2))</f>
        <v> </v>
      </c>
    </row>
    <row r="29" spans="1:8" ht="30" customHeight="1">
      <c r="A29" s="14" t="str">
        <f>PRZEDMIAR!A51</f>
        <v>x</v>
      </c>
      <c r="B29" s="14" t="str">
        <f>PRZEDMIAR!B51</f>
        <v>D 04.03.00</v>
      </c>
      <c r="C29" s="14"/>
      <c r="D29" s="23" t="str">
        <f>PRZEDMIAR!D51</f>
        <v>OCZYSZCZENIE I SKROPIENIE WARSTW KONSTRUKCYJNYCH</v>
      </c>
      <c r="E29" s="14" t="str">
        <f>PRZEDMIAR!E51</f>
        <v>x</v>
      </c>
      <c r="F29" s="28" t="str">
        <f>PRZEDMIAR!F51</f>
        <v>x</v>
      </c>
      <c r="G29" s="16" t="s">
        <v>17</v>
      </c>
      <c r="H29" s="16" t="s">
        <v>17</v>
      </c>
    </row>
    <row r="30" spans="1:8" ht="30" customHeight="1">
      <c r="A30" s="10">
        <f>PRZEDMIAR!A53</f>
        <v>10</v>
      </c>
      <c r="B30" s="10" t="str">
        <f>PRZEDMIAR!B53</f>
        <v>D 04.03.01</v>
      </c>
      <c r="C30" s="10" t="str">
        <f>PRZEDMIAR!C53</f>
        <v>03</v>
      </c>
      <c r="D30" s="15" t="str">
        <f>PRZEDMIAR!D53</f>
        <v>Oczyszczenie warstw konstrukcyjnych mechanicznie</v>
      </c>
      <c r="E30" s="10" t="str">
        <f>PRZEDMIAR!E53</f>
        <v>m2</v>
      </c>
      <c r="F30" s="16">
        <f>PRZEDMIAR!F53</f>
        <v>81.5</v>
      </c>
      <c r="G30" s="16"/>
      <c r="H30" s="16" t="str">
        <f>IF(ROUND(F30*G30,2)=0," ",ROUND(F30*G30,2))</f>
        <v> </v>
      </c>
    </row>
    <row r="31" spans="1:8" ht="30" customHeight="1">
      <c r="A31" s="10">
        <f>PRZEDMIAR!A60</f>
        <v>11</v>
      </c>
      <c r="B31" s="10" t="str">
        <f>PRZEDMIAR!B60</f>
        <v>D 04.03.01</v>
      </c>
      <c r="C31" s="10" t="str">
        <f>PRZEDMIAR!C60</f>
        <v>22</v>
      </c>
      <c r="D31" s="15" t="str">
        <f>PRZEDMIAR!D60</f>
        <v>Skropienie warstw konstrukcyjnych emulsją asfaltową</v>
      </c>
      <c r="E31" s="10" t="str">
        <f>PRZEDMIAR!E60</f>
        <v>m2</v>
      </c>
      <c r="F31" s="16">
        <f>PRZEDMIAR!F60</f>
        <v>81.5</v>
      </c>
      <c r="G31" s="16"/>
      <c r="H31" s="16" t="str">
        <f>IF(ROUND(F31*G31,2)=0," ",ROUND(F31*G31,2))</f>
        <v> </v>
      </c>
    </row>
    <row r="32" spans="1:8" ht="30" customHeight="1">
      <c r="A32" s="14" t="str">
        <f>PRZEDMIAR!A67</f>
        <v>x</v>
      </c>
      <c r="B32" s="14" t="str">
        <f>PRZEDMIAR!B67</f>
        <v>D 04.04.02</v>
      </c>
      <c r="C32" s="14"/>
      <c r="D32" s="23" t="str">
        <f>PRZEDMIAR!D67</f>
        <v>Podbudowa z kruszyw kamiennych</v>
      </c>
      <c r="E32" s="14" t="str">
        <f>PRZEDMIAR!E67</f>
        <v>x</v>
      </c>
      <c r="F32" s="28" t="str">
        <f>PRZEDMIAR!F67</f>
        <v>x</v>
      </c>
      <c r="G32" s="16" t="s">
        <v>17</v>
      </c>
      <c r="H32" s="16" t="s">
        <v>17</v>
      </c>
    </row>
    <row r="33" spans="1:8" ht="30" customHeight="1">
      <c r="A33" s="10">
        <f>PRZEDMIAR!A68</f>
        <v>12</v>
      </c>
      <c r="B33" s="10" t="str">
        <f>PRZEDMIAR!B68</f>
        <v>D 04.04.02</v>
      </c>
      <c r="C33" s="10" t="str">
        <f>PRZEDMIAR!C68</f>
        <v>02</v>
      </c>
      <c r="D33" s="15" t="str">
        <f>PRZEDMIAR!D68</f>
        <v>Wykonanie podbudowy z kruszywa łamanego - tłucznia kamiennego, warstwa dolna, grubość warstwy po zagęszczeniu 20 cm</v>
      </c>
      <c r="E33" s="10" t="str">
        <f>PRZEDMIAR!E68</f>
        <v>m2</v>
      </c>
      <c r="F33" s="16">
        <f>PRZEDMIAR!F68</f>
        <v>42</v>
      </c>
      <c r="G33" s="16"/>
      <c r="H33" s="16" t="str">
        <f>IF(ROUND(F33*G33,2)=0," ",ROUND(F33*G33,2))</f>
        <v> </v>
      </c>
    </row>
    <row r="34" spans="1:8" ht="30" customHeight="1">
      <c r="A34" s="14" t="str">
        <f>PRZEDMIAR!A71</f>
        <v>x</v>
      </c>
      <c r="B34" s="14" t="str">
        <f>PRZEDMIAR!B71</f>
        <v>D 04.07.01</v>
      </c>
      <c r="C34" s="14"/>
      <c r="D34" s="23" t="str">
        <f>PRZEDMIAR!D71</f>
        <v>Podbudowa z betonu asfaltowego</v>
      </c>
      <c r="E34" s="14" t="str">
        <f>PRZEDMIAR!E71</f>
        <v>x</v>
      </c>
      <c r="F34" s="28" t="str">
        <f>PRZEDMIAR!F71</f>
        <v>x</v>
      </c>
      <c r="G34" s="16" t="s">
        <v>17</v>
      </c>
      <c r="H34" s="16" t="s">
        <v>17</v>
      </c>
    </row>
    <row r="35" spans="1:8" s="82" customFormat="1" ht="30" customHeight="1">
      <c r="A35" s="10">
        <f>PRZEDMIAR!A72</f>
        <v>13</v>
      </c>
      <c r="B35" s="10" t="str">
        <f>PRZEDMIAR!B72</f>
        <v>D 04.07.01</v>
      </c>
      <c r="C35" s="10" t="str">
        <f>PRZEDMIAR!C72</f>
        <v>13, 46</v>
      </c>
      <c r="D35" s="15" t="str">
        <f>PRZEDMIAR!D72</f>
        <v>Wykonanie podbudowy z mieszanki mineralno - asfaltowej AC 16 P , grubość warstwy po zagęszczeniu 5 cm</v>
      </c>
      <c r="E35" s="10" t="str">
        <f>PRZEDMIAR!E72</f>
        <v>m2</v>
      </c>
      <c r="F35" s="16">
        <f>PRZEDMIAR!F72</f>
        <v>39.5</v>
      </c>
      <c r="G35" s="16"/>
      <c r="H35" s="16" t="str">
        <f>IF(ROUND(F35*G35,2)=0," ",ROUND(F35*G35,2))</f>
        <v> </v>
      </c>
    </row>
    <row r="36" spans="1:8" ht="30" customHeight="1">
      <c r="A36" s="25"/>
      <c r="B36" s="14"/>
      <c r="C36" s="22"/>
      <c r="D36" s="179" t="str">
        <f>"RAZEM: "&amp;D24&amp;""</f>
        <v>RAZEM: PODBUDOWY</v>
      </c>
      <c r="E36" s="179"/>
      <c r="F36" s="179"/>
      <c r="G36" s="179"/>
      <c r="H36" s="53" t="str">
        <f>IF(SUM(H26,H28,H30:H31,H33,H35)=0," ",SUM(H26,H28,H30:H31,H33,H35))</f>
        <v> </v>
      </c>
    </row>
    <row r="37" spans="1:8" ht="30" customHeight="1">
      <c r="A37" s="61" t="str">
        <f>PRZEDMIAR!A76</f>
        <v>1.4</v>
      </c>
      <c r="B37" s="61" t="str">
        <f>PRZEDMIAR!B76</f>
        <v>D 05.00.00</v>
      </c>
      <c r="C37" s="61"/>
      <c r="D37" s="62" t="str">
        <f>PRZEDMIAR!D76</f>
        <v>NAWIERZCHNIE</v>
      </c>
      <c r="E37" s="61" t="str">
        <f>PRZEDMIAR!E76</f>
        <v>x</v>
      </c>
      <c r="F37" s="54" t="str">
        <f>PRZEDMIAR!F76</f>
        <v>x</v>
      </c>
      <c r="G37" s="61" t="s">
        <v>17</v>
      </c>
      <c r="H37" s="61" t="s">
        <v>17</v>
      </c>
    </row>
    <row r="38" spans="1:8" ht="30" customHeight="1">
      <c r="A38" s="14" t="str">
        <f>PRZEDMIAR!A77</f>
        <v>x</v>
      </c>
      <c r="B38" s="14" t="str">
        <f>PRZEDMIAR!B77</f>
        <v>D 05.03.05</v>
      </c>
      <c r="C38" s="23"/>
      <c r="D38" s="23" t="str">
        <f>PRZEDMIAR!D77</f>
        <v>Nawierzchnia z betonu asfaltowego</v>
      </c>
      <c r="E38" s="14" t="str">
        <f>PRZEDMIAR!E77</f>
        <v>x</v>
      </c>
      <c r="F38" s="14" t="str">
        <f>PRZEDMIAR!F77</f>
        <v>x</v>
      </c>
      <c r="G38" s="28" t="s">
        <v>17</v>
      </c>
      <c r="H38" s="28" t="s">
        <v>17</v>
      </c>
    </row>
    <row r="39" spans="1:8" ht="30" customHeight="1">
      <c r="A39" s="10">
        <f>PRZEDMIAR!A78</f>
        <v>14</v>
      </c>
      <c r="B39" s="10" t="str">
        <f>PRZEDMIAR!B78</f>
        <v>D 05.03.05</v>
      </c>
      <c r="C39" s="10" t="str">
        <f>PRZEDMIAR!C78</f>
        <v>16</v>
      </c>
      <c r="D39" s="15" t="str">
        <f>PRZEDMIAR!D78</f>
        <v>Wykonanie warstwy wiążącej (ochronnej) z mieszanki mineralno - asfaltowej AC 16 W, grubość warstwy po zagęszczeniu 4 cm</v>
      </c>
      <c r="E39" s="10" t="str">
        <f>PRZEDMIAR!E78</f>
        <v>m2</v>
      </c>
      <c r="F39" s="10">
        <f>PRZEDMIAR!F78</f>
        <v>27.3</v>
      </c>
      <c r="G39" s="16"/>
      <c r="H39" s="16" t="str">
        <f>IF(ROUND(F39*G39,2)=0," ",ROUND(F39*G39,2))</f>
        <v> </v>
      </c>
    </row>
    <row r="40" spans="1:8" ht="30" customHeight="1">
      <c r="A40" s="14" t="str">
        <f>PRZEDMIAR!A77</f>
        <v>x</v>
      </c>
      <c r="B40" s="14" t="str">
        <f>PRZEDMIAR!B77</f>
        <v>D 05.03.05</v>
      </c>
      <c r="C40" s="14"/>
      <c r="D40" s="23" t="str">
        <f>PRZEDMIAR!D77</f>
        <v>Nawierzchnia z betonu asfaltowego</v>
      </c>
      <c r="E40" s="14" t="str">
        <f>PRZEDMIAR!E77</f>
        <v>x</v>
      </c>
      <c r="F40" s="28" t="str">
        <f>PRZEDMIAR!F77</f>
        <v>x</v>
      </c>
      <c r="G40" s="28" t="s">
        <v>17</v>
      </c>
      <c r="H40" s="28" t="s">
        <v>17</v>
      </c>
    </row>
    <row r="41" spans="1:8" s="82" customFormat="1" ht="30" customHeight="1">
      <c r="A41" s="10">
        <f>PRZEDMIAR!A81</f>
        <v>15</v>
      </c>
      <c r="B41" s="10" t="str">
        <f>PRZEDMIAR!B81</f>
        <v>D 05.03.05</v>
      </c>
      <c r="C41" s="10" t="str">
        <f>PRZEDMIAR!C81</f>
        <v>23</v>
      </c>
      <c r="D41" s="15" t="str">
        <f>PRZEDMIAR!D81</f>
        <v>Wykonanie warstwy ścieralnej z mieszanki mineralno-asfaltowej AC 16 S, grubość warstwy po zagęszczeniu 4 cm</v>
      </c>
      <c r="E41" s="10" t="str">
        <f>PRZEDMIAR!E81</f>
        <v>m2</v>
      </c>
      <c r="F41" s="16">
        <f>PRZEDMIAR!F81</f>
        <v>65.1</v>
      </c>
      <c r="G41" s="16"/>
      <c r="H41" s="16" t="str">
        <f>IF(ROUND(F41*G41,2)=0," ",ROUND(F41*G41,2))</f>
        <v> </v>
      </c>
    </row>
    <row r="42" spans="1:8" ht="30" customHeight="1">
      <c r="A42" s="25"/>
      <c r="B42" s="14"/>
      <c r="C42" s="22"/>
      <c r="D42" s="179" t="str">
        <f>"RAZEM: "&amp;D37&amp;""</f>
        <v>RAZEM: NAWIERZCHNIE</v>
      </c>
      <c r="E42" s="179"/>
      <c r="F42" s="179"/>
      <c r="G42" s="179"/>
      <c r="H42" s="53" t="str">
        <f>IF(SUM(H41,H39)=0," ",SUM(H41,H39))</f>
        <v> </v>
      </c>
    </row>
    <row r="43" spans="1:8" ht="30" customHeight="1">
      <c r="A43" s="61" t="str">
        <f>PRZEDMIAR!A85</f>
        <v>1.5</v>
      </c>
      <c r="B43" s="61" t="str">
        <f>PRZEDMIAR!B85</f>
        <v>D 06.00.00</v>
      </c>
      <c r="C43" s="62"/>
      <c r="D43" s="62" t="str">
        <f>PRZEDMIAR!D85</f>
        <v>ROBOTY WYKOŃCZENIOWE</v>
      </c>
      <c r="E43" s="61" t="str">
        <f>PRZEDMIAR!E85</f>
        <v>x</v>
      </c>
      <c r="F43" s="61" t="str">
        <f>PRZEDMIAR!F85</f>
        <v>x</v>
      </c>
      <c r="G43" s="61" t="s">
        <v>17</v>
      </c>
      <c r="H43" s="61" t="s">
        <v>17</v>
      </c>
    </row>
    <row r="44" spans="1:8" ht="30" customHeight="1">
      <c r="A44" s="25" t="str">
        <f>PRZEDMIAR!A86</f>
        <v>x</v>
      </c>
      <c r="B44" s="14" t="str">
        <f>PRZEDMIAR!B86</f>
        <v>D 06.01.01</v>
      </c>
      <c r="C44" s="23"/>
      <c r="D44" s="23" t="str">
        <f>PRZEDMIAR!D86</f>
        <v>Umocnienie powierzchniowe humusowaniem i obsianiem</v>
      </c>
      <c r="E44" s="28" t="str">
        <f>PRZEDMIAR!E86</f>
        <v>x</v>
      </c>
      <c r="F44" s="28" t="str">
        <f>PRZEDMIAR!F86</f>
        <v>x</v>
      </c>
      <c r="G44" s="28" t="s">
        <v>17</v>
      </c>
      <c r="H44" s="28" t="s">
        <v>17</v>
      </c>
    </row>
    <row r="45" spans="1:8" ht="30" customHeight="1">
      <c r="A45" s="25">
        <f>PRZEDMIAR!A87</f>
        <v>16</v>
      </c>
      <c r="B45" s="25" t="str">
        <f>PRZEDMIAR!B87</f>
        <v>D 06.01.01</v>
      </c>
      <c r="C45" s="25" t="str">
        <f>PRZEDMIAR!C87</f>
        <v>21</v>
      </c>
      <c r="D45" s="15" t="str">
        <f>PRZEDMIAR!D87</f>
        <v>Humusowanie z obsianiem skarp przy grubości humusu 10cm (bez dowozu ziemi urodzajnej - humus z odzysku)</v>
      </c>
      <c r="E45" s="25" t="str">
        <f>PRZEDMIAR!E87</f>
        <v>m2</v>
      </c>
      <c r="F45" s="25">
        <f>PRZEDMIAR!F87</f>
        <v>47</v>
      </c>
      <c r="G45" s="16"/>
      <c r="H45" s="16" t="str">
        <f>IF(ROUND(F45*G45,2)=0," ",ROUND(F45*G45,2))</f>
        <v> </v>
      </c>
    </row>
    <row r="46" spans="1:8" ht="30" customHeight="1">
      <c r="A46" s="25"/>
      <c r="B46" s="14"/>
      <c r="C46" s="22"/>
      <c r="D46" s="179" t="str">
        <f>"RAZEM: "&amp;D43&amp;""</f>
        <v>RAZEM: ROBOTY WYKOŃCZENIOWE</v>
      </c>
      <c r="E46" s="179"/>
      <c r="F46" s="179"/>
      <c r="G46" s="179"/>
      <c r="H46" s="53" t="str">
        <f>IF(H45=0," ",H45)</f>
        <v> </v>
      </c>
    </row>
    <row r="47" spans="1:8" s="82" customFormat="1" ht="30" customHeight="1">
      <c r="A47" s="180" t="str">
        <f>"OGÓŁEM: "&amp;B7&amp;""</f>
        <v>OGÓŁEM: ROBOTY DROGOWE</v>
      </c>
      <c r="B47" s="180"/>
      <c r="C47" s="180"/>
      <c r="D47" s="180"/>
      <c r="E47" s="180"/>
      <c r="F47" s="180"/>
      <c r="G47" s="180"/>
      <c r="H47" s="54" t="str">
        <f>IF(SUM(H46,H42,H36,H23,H18)=0," ",SUM(H46,H42,H36,H23,H18))</f>
        <v> </v>
      </c>
    </row>
    <row r="48" spans="1:8" s="82" customFormat="1" ht="30" customHeight="1">
      <c r="A48" s="108" t="str">
        <f>PRZEDMIAR!A91</f>
        <v>2.</v>
      </c>
      <c r="B48" s="186" t="str">
        <f>PRZEDMIAR!B91</f>
        <v>ROBOTY MOSTOWE</v>
      </c>
      <c r="C48" s="186"/>
      <c r="D48" s="186"/>
      <c r="E48" s="186"/>
      <c r="F48" s="186"/>
      <c r="G48" s="186"/>
      <c r="H48" s="187"/>
    </row>
    <row r="49" spans="1:8" s="82" customFormat="1" ht="30" customHeight="1">
      <c r="A49" s="61" t="str">
        <f>PRZEDMIAR!A92</f>
        <v>x</v>
      </c>
      <c r="B49" s="61" t="str">
        <f>PRZEDMIAR!B92</f>
        <v>M 21.00.00</v>
      </c>
      <c r="C49" s="61"/>
      <c r="D49" s="62" t="str">
        <f>PRZEDMIAR!D92</f>
        <v>FUNDAMENTY</v>
      </c>
      <c r="E49" s="61" t="str">
        <f>PRZEDMIAR!E92</f>
        <v>x</v>
      </c>
      <c r="F49" s="61" t="str">
        <f>PRZEDMIAR!F92</f>
        <v>x</v>
      </c>
      <c r="G49" s="61" t="str">
        <f>PRZEDMIAR!G92</f>
        <v>x</v>
      </c>
      <c r="H49" s="61" t="str">
        <f>PRZEDMIAR!H92</f>
        <v>x</v>
      </c>
    </row>
    <row r="50" spans="1:8" s="82" customFormat="1" ht="30" customHeight="1">
      <c r="A50" s="61" t="str">
        <f>PRZEDMIAR!A93</f>
        <v>2.1</v>
      </c>
      <c r="B50" s="61" t="str">
        <f>PRZEDMIAR!B93</f>
        <v>M 21.20.00</v>
      </c>
      <c r="C50" s="61"/>
      <c r="D50" s="62" t="str">
        <f>PRZEDMIAR!D93</f>
        <v>ŁAWY FUNDAMENTOWE</v>
      </c>
      <c r="E50" s="61" t="str">
        <f>PRZEDMIAR!E93</f>
        <v>x</v>
      </c>
      <c r="F50" s="61" t="str">
        <f>PRZEDMIAR!F93</f>
        <v>x</v>
      </c>
      <c r="G50" s="61">
        <f>PRZEDMIAR!G93</f>
        <v>0</v>
      </c>
      <c r="H50" s="61">
        <f>PRZEDMIAR!H93</f>
        <v>0</v>
      </c>
    </row>
    <row r="51" spans="1:8" s="82" customFormat="1" ht="30" customHeight="1">
      <c r="A51" s="52" t="str">
        <f>PRZEDMIAR!A94</f>
        <v>x</v>
      </c>
      <c r="B51" s="52" t="str">
        <f>PRZEDMIAR!B94</f>
        <v>M 21.20.10</v>
      </c>
      <c r="C51" s="144"/>
      <c r="D51" s="23" t="str">
        <f>PRZEDMIAR!D94</f>
        <v>Ławy fundamentowe w deskowaniu</v>
      </c>
      <c r="E51" s="52" t="str">
        <f>PRZEDMIAR!E94</f>
        <v>x</v>
      </c>
      <c r="F51" s="52" t="str">
        <f>PRZEDMIAR!F94</f>
        <v>x</v>
      </c>
      <c r="G51" s="14" t="s">
        <v>17</v>
      </c>
      <c r="H51" s="14" t="s">
        <v>17</v>
      </c>
    </row>
    <row r="52" spans="1:8" s="82" customFormat="1" ht="30" customHeight="1">
      <c r="A52" s="10">
        <f>PRZEDMIAR!A95</f>
        <v>17</v>
      </c>
      <c r="B52" s="10" t="str">
        <f>PRZEDMIAR!B95</f>
        <v>M 21.20.10</v>
      </c>
      <c r="C52" s="10" t="str">
        <f>PRZEDMIAR!C95</f>
        <v>16</v>
      </c>
      <c r="D52" s="15" t="str">
        <f>PRZEDMIAR!D95</f>
        <v>Ławy fundamentowe z betonu konstrukcyjnego w deskowaniu - klasa betonu C25/30 (B-30)</v>
      </c>
      <c r="E52" s="10" t="str">
        <f>PRZEDMIAR!E95</f>
        <v>m3</v>
      </c>
      <c r="F52" s="10">
        <f>PRZEDMIAR!F95</f>
        <v>15.879710000000001</v>
      </c>
      <c r="G52" s="16"/>
      <c r="H52" s="16" t="str">
        <f>IF(ROUND(F52*G52,2)=0," ",ROUND(F52*G52,2))</f>
        <v> </v>
      </c>
    </row>
    <row r="53" spans="1:8" ht="30" customHeight="1">
      <c r="A53" s="10">
        <f>PRZEDMIAR!A98</f>
        <v>18</v>
      </c>
      <c r="B53" s="10" t="str">
        <f>PRZEDMIAR!B98</f>
        <v>M 21.20.01</v>
      </c>
      <c r="C53" s="10" t="str">
        <f>PRZEDMIAR!C98</f>
        <v>69</v>
      </c>
      <c r="D53" s="15" t="str">
        <f>PRZEDMIAR!D98</f>
        <v>Wykonanie zbrojenia ław ze stali klasy AIIIN</v>
      </c>
      <c r="E53" s="10" t="str">
        <f>PRZEDMIAR!E98</f>
        <v>kg</v>
      </c>
      <c r="F53" s="10">
        <f>PRZEDMIAR!F98</f>
        <v>1102.8999999999999</v>
      </c>
      <c r="G53" s="16"/>
      <c r="H53" s="16" t="str">
        <f>IF(ROUND(F53*G53,2)=0," ",ROUND(F53*G53,2))</f>
        <v> </v>
      </c>
    </row>
    <row r="54" spans="1:8" ht="12.75">
      <c r="A54" s="10"/>
      <c r="B54" s="14"/>
      <c r="C54" s="22"/>
      <c r="D54" s="179" t="str">
        <f>"RAZEM: "&amp;D49&amp;""</f>
        <v>RAZEM: FUNDAMENTY</v>
      </c>
      <c r="E54" s="179"/>
      <c r="F54" s="179"/>
      <c r="G54" s="179"/>
      <c r="H54" s="53" t="str">
        <f>IF(SUM(H52:H53)=0," ",SUM(H52:H53))</f>
        <v> </v>
      </c>
    </row>
    <row r="55" spans="1:8" ht="30" customHeight="1">
      <c r="A55" s="61" t="str">
        <f>PRZEDMIAR!A101</f>
        <v>x</v>
      </c>
      <c r="B55" s="61" t="str">
        <f>PRZEDMIAR!B101</f>
        <v>M 22.00.00</v>
      </c>
      <c r="C55" s="61"/>
      <c r="D55" s="62" t="str">
        <f>PRZEDMIAR!D101</f>
        <v>KORPUSY PODPÓR</v>
      </c>
      <c r="E55" s="61" t="str">
        <f>PRZEDMIAR!E101</f>
        <v>x</v>
      </c>
      <c r="F55" s="54" t="str">
        <f>PRZEDMIAR!F101</f>
        <v>x</v>
      </c>
      <c r="G55" s="61" t="s">
        <v>17</v>
      </c>
      <c r="H55" s="61" t="s">
        <v>17</v>
      </c>
    </row>
    <row r="56" spans="1:8" ht="30" customHeight="1">
      <c r="A56" s="61" t="str">
        <f>PRZEDMIAR!A102</f>
        <v>2.2</v>
      </c>
      <c r="B56" s="61" t="str">
        <f>PRZEDMIAR!B102</f>
        <v>M 22.01.00</v>
      </c>
      <c r="C56" s="61"/>
      <c r="D56" s="62" t="str">
        <f>PRZEDMIAR!D102</f>
        <v>PRZYCZÓŁKI</v>
      </c>
      <c r="E56" s="61" t="str">
        <f>PRZEDMIAR!E102</f>
        <v>x</v>
      </c>
      <c r="F56" s="54" t="str">
        <f>PRZEDMIAR!F102</f>
        <v>x</v>
      </c>
      <c r="G56" s="61" t="s">
        <v>17</v>
      </c>
      <c r="H56" s="61" t="s">
        <v>17</v>
      </c>
    </row>
    <row r="57" spans="1:8" ht="12.75">
      <c r="A57" s="52" t="str">
        <f>PRZEDMIAR!A103</f>
        <v>x</v>
      </c>
      <c r="B57" s="52" t="str">
        <f>PRZEDMIAR!B103</f>
        <v>M 22.01.01</v>
      </c>
      <c r="C57" s="52"/>
      <c r="D57" s="23" t="str">
        <f>PRZEDMIAR!D103</f>
        <v>Przyczółki żelbetowe</v>
      </c>
      <c r="E57" s="52" t="str">
        <f>PRZEDMIAR!E103</f>
        <v>x</v>
      </c>
      <c r="F57" s="52" t="str">
        <f>PRZEDMIAR!F103</f>
        <v>x</v>
      </c>
      <c r="G57" s="14" t="s">
        <v>17</v>
      </c>
      <c r="H57" s="14" t="s">
        <v>17</v>
      </c>
    </row>
    <row r="58" spans="1:8" s="82" customFormat="1" ht="12.75">
      <c r="A58" s="10">
        <f>PRZEDMIAR!A104</f>
        <v>19</v>
      </c>
      <c r="B58" s="10" t="str">
        <f>PRZEDMIAR!B104</f>
        <v>M 22.01.01</v>
      </c>
      <c r="C58" s="10" t="str">
        <f>PRZEDMIAR!C104</f>
        <v>11</v>
      </c>
      <c r="D58" s="15" t="str">
        <f>PRZEDMIAR!D104</f>
        <v>Podpory masywne wys. do 4 m z betonu klasy C25/30 (B30)</v>
      </c>
      <c r="E58" s="10" t="str">
        <f>PRZEDMIAR!E104</f>
        <v>m3</v>
      </c>
      <c r="F58" s="16">
        <f>PRZEDMIAR!F104</f>
        <v>9.508719999999999</v>
      </c>
      <c r="G58" s="16"/>
      <c r="H58" s="16" t="str">
        <f>IF(ROUND(F58*G58,2)=0," ",ROUND(F58*G58,2))</f>
        <v> </v>
      </c>
    </row>
    <row r="59" spans="1:10" s="27" customFormat="1" ht="12.75">
      <c r="A59" s="10">
        <f>PRZEDMIAR!A107</f>
        <v>20</v>
      </c>
      <c r="B59" s="10" t="str">
        <f>PRZEDMIAR!B107</f>
        <v>M 22.01.01</v>
      </c>
      <c r="C59" s="10" t="str">
        <f>PRZEDMIAR!C107</f>
        <v>69</v>
      </c>
      <c r="D59" s="15" t="str">
        <f>PRZEDMIAR!D107</f>
        <v>Wykonanie zbrojenia korpusów przyczółków ze stali kl. AIIIN</v>
      </c>
      <c r="E59" s="10" t="str">
        <f>PRZEDMIAR!E107</f>
        <v>kg</v>
      </c>
      <c r="F59" s="16">
        <f>PRZEDMIAR!F107</f>
        <v>705.1999999999999</v>
      </c>
      <c r="G59" s="16"/>
      <c r="H59" s="16" t="str">
        <f>IF(ROUND(F59*G59,2)=0," ",ROUND(F59*G59,2))</f>
        <v> </v>
      </c>
      <c r="J59" s="17"/>
    </row>
    <row r="60" spans="1:10" s="27" customFormat="1" ht="30" customHeight="1">
      <c r="A60" s="10"/>
      <c r="B60" s="14"/>
      <c r="C60" s="22"/>
      <c r="D60" s="179" t="str">
        <f>"RAZEM: "&amp;D55&amp;""</f>
        <v>RAZEM: KORPUSY PODPÓR</v>
      </c>
      <c r="E60" s="179"/>
      <c r="F60" s="179"/>
      <c r="G60" s="179"/>
      <c r="H60" s="53" t="str">
        <f>IF(SUM(H58:H59)=0," ",SUM(H58:H59))</f>
        <v> </v>
      </c>
      <c r="J60" s="17"/>
    </row>
    <row r="61" spans="1:10" s="27" customFormat="1" ht="12.75">
      <c r="A61" s="61" t="str">
        <f>PRZEDMIAR!A110</f>
        <v>2.3</v>
      </c>
      <c r="B61" s="61" t="str">
        <f>PRZEDMIAR!B110</f>
        <v>M 23.00.00</v>
      </c>
      <c r="C61" s="61"/>
      <c r="D61" s="62" t="str">
        <f>PRZEDMIAR!D110</f>
        <v>USTROJE NOŚNE</v>
      </c>
      <c r="E61" s="61" t="str">
        <f>PRZEDMIAR!E110</f>
        <v>x</v>
      </c>
      <c r="F61" s="54" t="str">
        <f>PRZEDMIAR!F110</f>
        <v>x</v>
      </c>
      <c r="G61" s="61" t="s">
        <v>17</v>
      </c>
      <c r="H61" s="61" t="s">
        <v>17</v>
      </c>
      <c r="J61" s="17"/>
    </row>
    <row r="62" spans="1:10" s="27" customFormat="1" ht="12.75">
      <c r="A62" s="14" t="str">
        <f>PRZEDMIAR!A111</f>
        <v>x</v>
      </c>
      <c r="B62" s="14" t="str">
        <f>PRZEDMIAR!B111</f>
        <v>M 23.05.00</v>
      </c>
      <c r="C62" s="14"/>
      <c r="D62" s="23" t="str">
        <f>PRZEDMIAR!D111</f>
        <v>USTROJE STALOWE</v>
      </c>
      <c r="E62" s="14" t="str">
        <f>PRZEDMIAR!E111</f>
        <v>x</v>
      </c>
      <c r="F62" s="28" t="str">
        <f>PRZEDMIAR!F111</f>
        <v>x</v>
      </c>
      <c r="G62" s="14" t="s">
        <v>17</v>
      </c>
      <c r="H62" s="14" t="s">
        <v>17</v>
      </c>
      <c r="J62" s="17"/>
    </row>
    <row r="63" spans="1:8" ht="30" customHeight="1">
      <c r="A63" s="14" t="str">
        <f>PRZEDMIAR!A112</f>
        <v>x</v>
      </c>
      <c r="B63" s="14" t="str">
        <f>PRZEDMIAR!B112</f>
        <v>M 23.05.01</v>
      </c>
      <c r="C63" s="14"/>
      <c r="D63" s="23" t="str">
        <f>PRZEDMIAR!D112</f>
        <v>Ustrój nośny stalowy - "blachownica" do zespolenia z żelbetową płytą pomostu</v>
      </c>
      <c r="E63" s="14" t="str">
        <f>PRZEDMIAR!E112</f>
        <v>x</v>
      </c>
      <c r="F63" s="28" t="str">
        <f>PRZEDMIAR!F112</f>
        <v>x</v>
      </c>
      <c r="G63" s="14" t="s">
        <v>17</v>
      </c>
      <c r="H63" s="14" t="s">
        <v>17</v>
      </c>
    </row>
    <row r="64" spans="1:8" s="82" customFormat="1" ht="25.5">
      <c r="A64" s="10">
        <f>PRZEDMIAR!A113</f>
        <v>21</v>
      </c>
      <c r="B64" s="10" t="str">
        <f>PRZEDMIAR!B113</f>
        <v>M 23.05.01</v>
      </c>
      <c r="C64" s="10" t="str">
        <f>PRZEDMIAR!C113</f>
        <v>31</v>
      </c>
      <c r="D64" s="15" t="str">
        <f>PRZEDMIAR!D113</f>
        <v>Montaż konstrukcji blachownicowej ze stali Rr&lt;400 MPa i rozp. przęsła do 20m - nad wodą</v>
      </c>
      <c r="E64" s="10" t="str">
        <f>PRZEDMIAR!E113</f>
        <v>t</v>
      </c>
      <c r="F64" s="16">
        <f>PRZEDMIAR!F113</f>
        <v>2.69266</v>
      </c>
      <c r="G64" s="16"/>
      <c r="H64" s="16" t="str">
        <f>IF(ROUND(F64*G64,2)=0," ",ROUND(F64*G64,2))</f>
        <v> </v>
      </c>
    </row>
    <row r="65" spans="1:10" s="27" customFormat="1" ht="25.5">
      <c r="A65" s="10">
        <f>PRZEDMIAR!A116</f>
        <v>22</v>
      </c>
      <c r="B65" s="10" t="str">
        <f>PRZEDMIAR!B116</f>
        <v>M 23.05.01</v>
      </c>
      <c r="C65" s="10" t="str">
        <f>PRZEDMIAR!C116</f>
        <v>71</v>
      </c>
      <c r="D65" s="15" t="str">
        <f>PRZEDMIAR!D116</f>
        <v>Wytworzenie konstrukcji stalowej ze stali Rr&lt;400 MPa - istniejące dźwigary adaptowane na poprzecznice</v>
      </c>
      <c r="E65" s="10" t="str">
        <f>PRZEDMIAR!E116</f>
        <v>t</v>
      </c>
      <c r="F65" s="16">
        <f>PRZEDMIAR!F116</f>
        <v>0.41703388</v>
      </c>
      <c r="G65" s="16"/>
      <c r="H65" s="16" t="str">
        <f>IF(ROUND(F65*G65,2)=0," ",ROUND(F65*G65,2))</f>
        <v> </v>
      </c>
      <c r="J65" s="17"/>
    </row>
    <row r="66" spans="1:10" s="27" customFormat="1" ht="25.5">
      <c r="A66" s="10">
        <f>PRZEDMIAR!A119</f>
        <v>23</v>
      </c>
      <c r="B66" s="10" t="str">
        <f>PRZEDMIAR!B119</f>
        <v>M 23.05.01</v>
      </c>
      <c r="C66" s="10" t="str">
        <f>PRZEDMIAR!C119</f>
        <v>71</v>
      </c>
      <c r="D66" s="15" t="str">
        <f>PRZEDMIAR!D119</f>
        <v>Wytworzenie konstrukcji stalowej ze stali Rr&lt;400 Mpa - projektowana konstrukcja stalowa wraz ze sworzniami (elementy nowe)</v>
      </c>
      <c r="E66" s="10" t="str">
        <f>PRZEDMIAR!E119</f>
        <v>t</v>
      </c>
      <c r="F66" s="16">
        <f>PRZEDMIAR!F119</f>
        <v>2.42</v>
      </c>
      <c r="G66" s="16"/>
      <c r="H66" s="16" t="str">
        <f>IF(ROUND(F66*G66,2)=0," ",ROUND(F66*G66,2))</f>
        <v> </v>
      </c>
      <c r="J66" s="17"/>
    </row>
    <row r="67" spans="1:10" s="27" customFormat="1" ht="30" customHeight="1">
      <c r="A67" s="10">
        <f>PRZEDMIAR!A122</f>
        <v>24</v>
      </c>
      <c r="B67" s="10" t="str">
        <f>PRZEDMIAR!B122</f>
        <v>M 23.05.01</v>
      </c>
      <c r="C67" s="10" t="str">
        <f>PRZEDMIAR!C122</f>
        <v>87</v>
      </c>
      <c r="D67" s="15" t="str">
        <f>PRZEDMIAR!D122</f>
        <v>Zabezpieczenie antykorozyjne konstrukcji stalowej poprzez malowanie farbami na bazie żywic EP i PUR</v>
      </c>
      <c r="E67" s="10" t="str">
        <f>PRZEDMIAR!E122</f>
        <v>m2</v>
      </c>
      <c r="F67" s="16">
        <f>PRZEDMIAR!F122</f>
        <v>39</v>
      </c>
      <c r="G67" s="16"/>
      <c r="H67" s="16" t="str">
        <f>IF(ROUND(F67*G67,2)=0," ",ROUND(F67*G67,2))</f>
        <v> </v>
      </c>
      <c r="J67" s="17"/>
    </row>
    <row r="68" spans="1:10" s="27" customFormat="1" ht="30" customHeight="1">
      <c r="A68" s="25"/>
      <c r="B68" s="25"/>
      <c r="C68" s="26"/>
      <c r="D68" s="179" t="str">
        <f>"RAZEM: "&amp;D61&amp;""</f>
        <v>RAZEM: USTROJE NOŚNE</v>
      </c>
      <c r="E68" s="179"/>
      <c r="F68" s="179"/>
      <c r="G68" s="179"/>
      <c r="H68" s="53" t="str">
        <f>IF(SUM(H64:H67)=0," ",SUM(H64:H67))</f>
        <v> </v>
      </c>
      <c r="J68" s="17"/>
    </row>
    <row r="69" spans="1:8" s="82" customFormat="1" ht="30" customHeight="1">
      <c r="A69" s="61" t="str">
        <f>PRZEDMIAR!A125</f>
        <v>2.4</v>
      </c>
      <c r="B69" s="61" t="str">
        <f>PRZEDMIAR!B125</f>
        <v>M 23.10.00</v>
      </c>
      <c r="C69" s="61"/>
      <c r="D69" s="62" t="str">
        <f>PRZEDMIAR!D125</f>
        <v>PŁYTY POMOSTU ZESPOLONE Z KONSTRUKCJĄ STALOWĄ</v>
      </c>
      <c r="E69" s="61" t="str">
        <f>PRZEDMIAR!E125</f>
        <v>x</v>
      </c>
      <c r="F69" s="54" t="str">
        <f>PRZEDMIAR!F125</f>
        <v>x</v>
      </c>
      <c r="G69" s="61" t="s">
        <v>17</v>
      </c>
      <c r="H69" s="61" t="s">
        <v>17</v>
      </c>
    </row>
    <row r="70" spans="1:11" s="27" customFormat="1" ht="30" customHeight="1">
      <c r="A70" s="14" t="str">
        <f>PRZEDMIAR!A126</f>
        <v>x</v>
      </c>
      <c r="B70" s="14" t="str">
        <f>PRZEDMIAR!B126</f>
        <v>M 23.10.01</v>
      </c>
      <c r="C70" s="14"/>
      <c r="D70" s="23" t="str">
        <f>PRZEDMIAR!D126</f>
        <v>Żelbetowa płyta pomostu zespolona z konstrukcją stalową ustroju nośnego</v>
      </c>
      <c r="E70" s="14" t="str">
        <f>PRZEDMIAR!E126</f>
        <v>x</v>
      </c>
      <c r="F70" s="14" t="str">
        <f>PRZEDMIAR!F126</f>
        <v>x</v>
      </c>
      <c r="G70" s="14" t="s">
        <v>17</v>
      </c>
      <c r="H70" s="14" t="s">
        <v>17</v>
      </c>
      <c r="J70" s="17"/>
      <c r="K70" s="17"/>
    </row>
    <row r="71" spans="1:10" s="27" customFormat="1" ht="30" customHeight="1">
      <c r="A71" s="10">
        <f>PRZEDMIAR!A127</f>
        <v>25</v>
      </c>
      <c r="B71" s="10" t="str">
        <f>PRZEDMIAR!B127</f>
        <v>M 23.10.01</v>
      </c>
      <c r="C71" s="10" t="str">
        <f>PRZEDMIAR!C127</f>
        <v>32</v>
      </c>
      <c r="D71" s="15" t="str">
        <f>PRZEDMIAR!D127</f>
        <v>Wykonanie płyty pomostu konstrukcji zespolonej z betonu klasy C30/37 (B35)  - nad wodą z wykonaniem rusztowań i deskowań</v>
      </c>
      <c r="E71" s="10" t="str">
        <f>PRZEDMIAR!E127</f>
        <v>m3</v>
      </c>
      <c r="F71" s="16">
        <f>PRZEDMIAR!F127</f>
        <v>9.1</v>
      </c>
      <c r="G71" s="16"/>
      <c r="H71" s="16" t="str">
        <f>IF(ROUND(F71*G71,2)=0," ",ROUND(F71*G71,2))</f>
        <v> </v>
      </c>
      <c r="J71" s="17"/>
    </row>
    <row r="72" spans="1:10" s="27" customFormat="1" ht="30" customHeight="1">
      <c r="A72" s="10">
        <f>PRZEDMIAR!A130</f>
        <v>26</v>
      </c>
      <c r="B72" s="10" t="str">
        <f>PRZEDMIAR!B130</f>
        <v>M 23.10.01</v>
      </c>
      <c r="C72" s="10" t="str">
        <f>PRZEDMIAR!C130</f>
        <v>69</v>
      </c>
      <c r="D72" s="15" t="str">
        <f>PRZEDMIAR!D130</f>
        <v>Przygotowanie i montaż zbrojenia płyty zespolonej</v>
      </c>
      <c r="E72" s="10" t="str">
        <f>PRZEDMIAR!E130</f>
        <v>kg</v>
      </c>
      <c r="F72" s="16">
        <f>PRZEDMIAR!F130</f>
        <v>1548</v>
      </c>
      <c r="G72" s="16"/>
      <c r="H72" s="16" t="str">
        <f>IF(ROUND(F72*G72,2)=0," ",ROUND(F72*G72,2))</f>
        <v> </v>
      </c>
      <c r="J72" s="17"/>
    </row>
    <row r="73" spans="1:10" s="27" customFormat="1" ht="30" customHeight="1">
      <c r="A73" s="25"/>
      <c r="B73" s="30"/>
      <c r="C73" s="31"/>
      <c r="D73" s="179" t="str">
        <f>"RAZEM: "&amp;D69&amp;""</f>
        <v>RAZEM: PŁYTY POMOSTU ZESPOLONE Z KONSTRUKCJĄ STALOWĄ</v>
      </c>
      <c r="E73" s="179"/>
      <c r="F73" s="179"/>
      <c r="G73" s="179"/>
      <c r="H73" s="53" t="str">
        <f>IF(SUM(H71:H72)=0," ",SUM(H71:H72))</f>
        <v> </v>
      </c>
      <c r="J73" s="17"/>
    </row>
    <row r="74" spans="1:10" s="27" customFormat="1" ht="30" customHeight="1">
      <c r="A74" s="61" t="str">
        <f>PRZEDMIAR!A138</f>
        <v>2.5</v>
      </c>
      <c r="B74" s="61" t="str">
        <f>PRZEDMIAR!B138</f>
        <v>M 25.00.00</v>
      </c>
      <c r="C74" s="61"/>
      <c r="D74" s="62" t="str">
        <f>PRZEDMIAR!D138</f>
        <v>URZĄDZENIA DYLATACYJNE</v>
      </c>
      <c r="E74" s="61" t="str">
        <f>PRZEDMIAR!E138</f>
        <v>x</v>
      </c>
      <c r="F74" s="54" t="str">
        <f>PRZEDMIAR!F138</f>
        <v>x</v>
      </c>
      <c r="G74" s="61" t="s">
        <v>17</v>
      </c>
      <c r="H74" s="61" t="s">
        <v>17</v>
      </c>
      <c r="J74" s="17"/>
    </row>
    <row r="75" spans="1:10" s="27" customFormat="1" ht="30" customHeight="1">
      <c r="A75" s="14" t="str">
        <f>PRZEDMIAR!A139</f>
        <v>x</v>
      </c>
      <c r="B75" s="14" t="str">
        <f>PRZEDMIAR!B139</f>
        <v>M 25.01.03</v>
      </c>
      <c r="C75" s="14"/>
      <c r="D75" s="23" t="str">
        <f>PRZEDMIAR!D139</f>
        <v>Bitumiczne przykrycie dylatacyjne</v>
      </c>
      <c r="E75" s="14" t="str">
        <f>PRZEDMIAR!E139</f>
        <v>x</v>
      </c>
      <c r="F75" s="28" t="str">
        <f>PRZEDMIAR!F139</f>
        <v>x</v>
      </c>
      <c r="G75" s="16" t="s">
        <v>17</v>
      </c>
      <c r="H75" s="16" t="s">
        <v>17</v>
      </c>
      <c r="J75" s="17"/>
    </row>
    <row r="76" spans="1:10" s="27" customFormat="1" ht="30" customHeight="1">
      <c r="A76" s="10">
        <f>PRZEDMIAR!A140</f>
        <v>27</v>
      </c>
      <c r="B76" s="10" t="str">
        <f>PRZEDMIAR!B140</f>
        <v>M 25.01.03</v>
      </c>
      <c r="C76" s="10" t="str">
        <f>PRZEDMIAR!C140</f>
        <v>11</v>
      </c>
      <c r="D76" s="15" t="str">
        <f>PRZEDMIAR!D140</f>
        <v>Wypełnienie szczelin dylatacyjnych pionowych masą zalewową, szerokość szczeliny 2 cm.</v>
      </c>
      <c r="E76" s="10" t="str">
        <f>PRZEDMIAR!E140</f>
        <v>m</v>
      </c>
      <c r="F76" s="16">
        <f>PRZEDMIAR!F140</f>
        <v>6</v>
      </c>
      <c r="G76" s="16"/>
      <c r="H76" s="16" t="str">
        <f>IF(ROUND(F76*G76,2)=0," ",ROUND(F76*G76,2))</f>
        <v> </v>
      </c>
      <c r="J76" s="17"/>
    </row>
    <row r="77" spans="1:10" s="27" customFormat="1" ht="30" customHeight="1">
      <c r="A77" s="25"/>
      <c r="B77" s="30"/>
      <c r="C77" s="31"/>
      <c r="D77" s="179" t="str">
        <f>"RAZEM: "&amp;D74&amp;""</f>
        <v>RAZEM: URZĄDZENIA DYLATACYJNE</v>
      </c>
      <c r="E77" s="179"/>
      <c r="F77" s="179"/>
      <c r="G77" s="179"/>
      <c r="H77" s="53" t="str">
        <f>IF(SUM(H76)=0," ",SUM(H76))</f>
        <v> </v>
      </c>
      <c r="J77" s="17"/>
    </row>
    <row r="78" spans="1:10" s="27" customFormat="1" ht="30" customHeight="1">
      <c r="A78" s="61" t="str">
        <f>PRZEDMIAR!A144</f>
        <v>2.6</v>
      </c>
      <c r="B78" s="61" t="str">
        <f>PRZEDMIAR!B144</f>
        <v>M 26.00.00</v>
      </c>
      <c r="C78" s="61"/>
      <c r="D78" s="62" t="str">
        <f>PRZEDMIAR!D144</f>
        <v>ODWODNIENIE</v>
      </c>
      <c r="E78" s="61" t="str">
        <f>PRZEDMIAR!E144</f>
        <v>x</v>
      </c>
      <c r="F78" s="54" t="str">
        <f>PRZEDMIAR!F144</f>
        <v>x</v>
      </c>
      <c r="G78" s="61" t="s">
        <v>17</v>
      </c>
      <c r="H78" s="61" t="s">
        <v>17</v>
      </c>
      <c r="J78" s="17"/>
    </row>
    <row r="79" spans="1:8" s="82" customFormat="1" ht="30" customHeight="1">
      <c r="A79" s="14" t="str">
        <f>PRZEDMIAR!A145</f>
        <v>x</v>
      </c>
      <c r="B79" s="14" t="str">
        <f>PRZEDMIAR!B145</f>
        <v>M 26.01.02</v>
      </c>
      <c r="C79" s="14"/>
      <c r="D79" s="23" t="str">
        <f>PRZEDMIAR!D145</f>
        <v>SĄCZKI DLA ODWODNIENIA IZOLACJI</v>
      </c>
      <c r="E79" s="14" t="str">
        <f>PRZEDMIAR!E145</f>
        <v>x</v>
      </c>
      <c r="F79" s="28" t="str">
        <f>PRZEDMIAR!F145</f>
        <v>x</v>
      </c>
      <c r="G79" s="14" t="s">
        <v>17</v>
      </c>
      <c r="H79" s="14" t="s">
        <v>17</v>
      </c>
    </row>
    <row r="80" spans="1:10" s="27" customFormat="1" ht="30" customHeight="1">
      <c r="A80" s="25">
        <f>PRZEDMIAR!A146</f>
        <v>28</v>
      </c>
      <c r="B80" s="25" t="str">
        <f>PRZEDMIAR!B146</f>
        <v>M 26.01.02</v>
      </c>
      <c r="C80" s="25" t="str">
        <f>PRZEDMIAR!C146</f>
        <v>51</v>
      </c>
      <c r="D80" s="29" t="str">
        <f>PRZEDMIAR!D146</f>
        <v>Montaż saczków odwodnienia izolacji - sączki z HDPE śr. 48mm</v>
      </c>
      <c r="E80" s="25" t="str">
        <f>PRZEDMIAR!E146</f>
        <v>szt</v>
      </c>
      <c r="F80" s="59">
        <f>PRZEDMIAR!F146</f>
        <v>2</v>
      </c>
      <c r="G80" s="16"/>
      <c r="H80" s="16" t="str">
        <f>IF(ROUND(F80*G80,2)=0," ",ROUND(F80*G80,2))</f>
        <v> </v>
      </c>
      <c r="J80" s="17"/>
    </row>
    <row r="81" spans="1:10" s="27" customFormat="1" ht="30" customHeight="1">
      <c r="A81" s="14" t="str">
        <f>PRZEDMIAR!A148</f>
        <v>x</v>
      </c>
      <c r="B81" s="14" t="str">
        <f>PRZEDMIAR!B148</f>
        <v>M 26.01.03</v>
      </c>
      <c r="C81" s="14"/>
      <c r="D81" s="23" t="str">
        <f>PRZEDMIAR!D148</f>
        <v>DRENY DO ODWODNIENIA IZOLACJI</v>
      </c>
      <c r="E81" s="14" t="str">
        <f>PRZEDMIAR!E148</f>
        <v>x</v>
      </c>
      <c r="F81" s="28" t="str">
        <f>PRZEDMIAR!F148</f>
        <v>x</v>
      </c>
      <c r="G81" s="14" t="s">
        <v>17</v>
      </c>
      <c r="H81" s="14" t="s">
        <v>17</v>
      </c>
      <c r="J81" s="17"/>
    </row>
    <row r="82" spans="1:12" s="27" customFormat="1" ht="30" customHeight="1">
      <c r="A82" s="25">
        <f>PRZEDMIAR!A149</f>
        <v>29</v>
      </c>
      <c r="B82" s="25" t="str">
        <f>PRZEDMIAR!B149</f>
        <v>M 26.01.03</v>
      </c>
      <c r="C82" s="25" t="str">
        <f>PRZEDMIAR!C149</f>
        <v>11</v>
      </c>
      <c r="D82" s="29" t="str">
        <f>PRZEDMIAR!D149</f>
        <v>Wykonanie drenażu poziomego z geowłókniny i grysu lakierowanego</v>
      </c>
      <c r="E82" s="25" t="str">
        <f>PRZEDMIAR!E149</f>
        <v>m</v>
      </c>
      <c r="F82" s="59">
        <f>PRZEDMIAR!F149</f>
        <v>7.8</v>
      </c>
      <c r="G82" s="16"/>
      <c r="H82" s="16" t="str">
        <f>IF(ROUND(F82*G82,2)=0," ",ROUND(F82*G82,2))</f>
        <v> </v>
      </c>
      <c r="J82" s="17"/>
      <c r="L82" s="17"/>
    </row>
    <row r="83" spans="1:10" s="27" customFormat="1" ht="30" customHeight="1">
      <c r="A83" s="25"/>
      <c r="B83" s="30"/>
      <c r="C83" s="31"/>
      <c r="D83" s="179" t="str">
        <f>"RAZEM: "&amp;D78&amp;""</f>
        <v>RAZEM: ODWODNIENIE</v>
      </c>
      <c r="E83" s="179"/>
      <c r="F83" s="179"/>
      <c r="G83" s="179"/>
      <c r="H83" s="53" t="str">
        <f>IF(SUM(H80,H82)=0," ",SUM(H80,H82))</f>
        <v> </v>
      </c>
      <c r="J83" s="17"/>
    </row>
    <row r="84" spans="1:10" s="27" customFormat="1" ht="30" customHeight="1">
      <c r="A84" s="61" t="str">
        <f>PRZEDMIAR!A153</f>
        <v>2.7</v>
      </c>
      <c r="B84" s="61" t="str">
        <f>PRZEDMIAR!B153</f>
        <v>M 27.00.00</v>
      </c>
      <c r="C84" s="61"/>
      <c r="D84" s="62" t="str">
        <f>PRZEDMIAR!D153</f>
        <v>HYDROIZOLACJA</v>
      </c>
      <c r="E84" s="61" t="str">
        <f>PRZEDMIAR!E153</f>
        <v>x</v>
      </c>
      <c r="F84" s="54" t="str">
        <f>PRZEDMIAR!F153</f>
        <v>x</v>
      </c>
      <c r="G84" s="61" t="s">
        <v>17</v>
      </c>
      <c r="H84" s="61" t="s">
        <v>17</v>
      </c>
      <c r="J84" s="17"/>
    </row>
    <row r="85" spans="1:10" s="27" customFormat="1" ht="17.25" customHeight="1">
      <c r="A85" s="14" t="str">
        <f>PRZEDMIAR!A154</f>
        <v>x</v>
      </c>
      <c r="B85" s="14" t="str">
        <f>PRZEDMIAR!B154</f>
        <v>M 27.01.00</v>
      </c>
      <c r="C85" s="14"/>
      <c r="D85" s="23" t="str">
        <f>PRZEDMIAR!D154</f>
        <v>IZOLACJE POWŁOKOWE</v>
      </c>
      <c r="E85" s="14" t="str">
        <f>PRZEDMIAR!E154</f>
        <v>x</v>
      </c>
      <c r="F85" s="28" t="str">
        <f>PRZEDMIAR!F154</f>
        <v>x</v>
      </c>
      <c r="G85" s="14" t="s">
        <v>17</v>
      </c>
      <c r="H85" s="14" t="s">
        <v>17</v>
      </c>
      <c r="J85" s="17"/>
    </row>
    <row r="86" spans="1:10" s="27" customFormat="1" ht="30" customHeight="1">
      <c r="A86" s="14" t="str">
        <f>PRZEDMIAR!A155</f>
        <v>x</v>
      </c>
      <c r="B86" s="14" t="str">
        <f>PRZEDMIAR!B155</f>
        <v>M 27.01.01</v>
      </c>
      <c r="C86" s="14"/>
      <c r="D86" s="23" t="str">
        <f>PRZEDMIAR!D155</f>
        <v>POWŁOKA IZOLACYJNA BITUMICZNA - "NA ZIMNO"</v>
      </c>
      <c r="E86" s="14" t="str">
        <f>PRZEDMIAR!E155</f>
        <v>x</v>
      </c>
      <c r="F86" s="28" t="str">
        <f>PRZEDMIAR!F155</f>
        <v>x</v>
      </c>
      <c r="G86" s="14" t="s">
        <v>17</v>
      </c>
      <c r="H86" s="14" t="s">
        <v>17</v>
      </c>
      <c r="J86" s="17"/>
    </row>
    <row r="87" spans="1:8" s="82" customFormat="1" ht="29.25" customHeight="1">
      <c r="A87" s="25">
        <f>PRZEDMIAR!A156</f>
        <v>30</v>
      </c>
      <c r="B87" s="25" t="str">
        <f>PRZEDMIAR!B156</f>
        <v>M 27.01.01</v>
      </c>
      <c r="C87" s="25" t="str">
        <f>PRZEDMIAR!C156</f>
        <v>15</v>
      </c>
      <c r="D87" s="29" t="str">
        <f>PRZEDMIAR!D156</f>
        <v>Izolacje dwuwarstwowe przeciwwilgociowe powłokowe bitumiczne wykonywane na zimno. Powłoki pionowe z roztworu asfaltowego.</v>
      </c>
      <c r="E87" s="25" t="str">
        <f>PRZEDMIAR!E156</f>
        <v>m2</v>
      </c>
      <c r="F87" s="59">
        <f>PRZEDMIAR!F156</f>
        <v>53</v>
      </c>
      <c r="G87" s="16"/>
      <c r="H87" s="16" t="str">
        <f>IF(ROUND(F87*G87,2)=0," ",ROUND(F87*G87,2))</f>
        <v> </v>
      </c>
    </row>
    <row r="88" spans="1:10" s="27" customFormat="1" ht="30" customHeight="1">
      <c r="A88" s="14" t="str">
        <f>PRZEDMIAR!A159</f>
        <v>x</v>
      </c>
      <c r="B88" s="14" t="str">
        <f>PRZEDMIAR!B159</f>
        <v>M 27.02.00</v>
      </c>
      <c r="C88" s="14"/>
      <c r="D88" s="23" t="str">
        <f>PRZEDMIAR!D159</f>
        <v>IZOLACJE ARKUSZOWE</v>
      </c>
      <c r="E88" s="14" t="str">
        <f>PRZEDMIAR!E159</f>
        <v>x</v>
      </c>
      <c r="F88" s="28" t="str">
        <f>PRZEDMIAR!F159</f>
        <v>x</v>
      </c>
      <c r="G88" s="14" t="s">
        <v>17</v>
      </c>
      <c r="H88" s="14" t="s">
        <v>17</v>
      </c>
      <c r="J88" s="17"/>
    </row>
    <row r="89" spans="1:10" s="27" customFormat="1" ht="30" customHeight="1">
      <c r="A89" s="14" t="str">
        <f>PRZEDMIAR!A160</f>
        <v>x</v>
      </c>
      <c r="B89" s="14" t="str">
        <f>PRZEDMIAR!B160</f>
        <v>M 27.02.01</v>
      </c>
      <c r="C89" s="14"/>
      <c r="D89" s="23" t="str">
        <f>PRZEDMIAR!D160</f>
        <v>Izolacja z papy zgrzewalnej układane na powierzchniach betonowych</v>
      </c>
      <c r="E89" s="14" t="str">
        <f>PRZEDMIAR!E160</f>
        <v>x</v>
      </c>
      <c r="F89" s="14" t="str">
        <f>PRZEDMIAR!F160</f>
        <v>x</v>
      </c>
      <c r="G89" s="14" t="s">
        <v>17</v>
      </c>
      <c r="H89" s="14" t="s">
        <v>17</v>
      </c>
      <c r="J89" s="17"/>
    </row>
    <row r="90" spans="1:10" s="27" customFormat="1" ht="30" customHeight="1">
      <c r="A90" s="10">
        <f>PRZEDMIAR!A161</f>
        <v>31</v>
      </c>
      <c r="B90" s="10" t="str">
        <f>PRZEDMIAR!B161</f>
        <v>M 27.02.01</v>
      </c>
      <c r="C90" s="10" t="str">
        <f>PRZEDMIAR!C161</f>
        <v>11</v>
      </c>
      <c r="D90" s="15" t="str">
        <f>PRZEDMIAR!D161</f>
        <v>Izolacje przeciwwilgociowe poziome z papy asfaltowej na lepiku asfaltowym na gorąco.</v>
      </c>
      <c r="E90" s="10" t="str">
        <f>PRZEDMIAR!E161</f>
        <v>m2</v>
      </c>
      <c r="F90" s="16">
        <f>PRZEDMIAR!F161</f>
        <v>36.3</v>
      </c>
      <c r="G90" s="16"/>
      <c r="H90" s="16" t="str">
        <f>IF(ROUND(F90*G90,2)=0," ",ROUND(F90*G90,2))</f>
        <v> </v>
      </c>
      <c r="J90" s="17"/>
    </row>
    <row r="91" spans="1:10" s="27" customFormat="1" ht="30" customHeight="1">
      <c r="A91" s="25"/>
      <c r="B91" s="30"/>
      <c r="C91" s="31"/>
      <c r="D91" s="179" t="str">
        <f>"RAZEM: "&amp;D84&amp;""</f>
        <v>RAZEM: HYDROIZOLACJA</v>
      </c>
      <c r="E91" s="179"/>
      <c r="F91" s="179"/>
      <c r="G91" s="179"/>
      <c r="H91" s="53" t="str">
        <f>IF(SUM(H87:H90)=0," ",SUM(H87:H90))</f>
        <v> </v>
      </c>
      <c r="J91" s="17"/>
    </row>
    <row r="92" spans="1:10" s="27" customFormat="1" ht="30" customHeight="1">
      <c r="A92" s="61" t="str">
        <f>PRZEDMIAR!A165</f>
        <v>2.8</v>
      </c>
      <c r="B92" s="61" t="str">
        <f>PRZEDMIAR!B165</f>
        <v>M 28.00.00</v>
      </c>
      <c r="C92" s="61"/>
      <c r="D92" s="62" t="str">
        <f>PRZEDMIAR!D165</f>
        <v>WYPOSAŻENIE</v>
      </c>
      <c r="E92" s="61" t="str">
        <f>PRZEDMIAR!E165</f>
        <v>x</v>
      </c>
      <c r="F92" s="54" t="str">
        <f>PRZEDMIAR!F165</f>
        <v>x</v>
      </c>
      <c r="G92" s="61" t="s">
        <v>17</v>
      </c>
      <c r="H92" s="61" t="s">
        <v>17</v>
      </c>
      <c r="J92" s="17"/>
    </row>
    <row r="93" spans="1:10" s="27" customFormat="1" ht="30" customHeight="1">
      <c r="A93" s="14" t="str">
        <f>PRZEDMIAR!A166</f>
        <v>x</v>
      </c>
      <c r="B93" s="14" t="str">
        <f>PRZEDMIAR!B166</f>
        <v>M 28.03.01</v>
      </c>
      <c r="C93" s="14"/>
      <c r="D93" s="23" t="str">
        <f>PRZEDMIAR!D166</f>
        <v>BALUSTRADY STALOWE NA OBIEKTACH MOSTOWYCH</v>
      </c>
      <c r="E93" s="14" t="str">
        <f>PRZEDMIAR!E166</f>
        <v>x</v>
      </c>
      <c r="F93" s="28" t="str">
        <f>PRZEDMIAR!F166</f>
        <v>x</v>
      </c>
      <c r="G93" s="14" t="s">
        <v>17</v>
      </c>
      <c r="H93" s="14" t="s">
        <v>17</v>
      </c>
      <c r="J93" s="17"/>
    </row>
    <row r="94" spans="1:10" s="27" customFormat="1" ht="12.75">
      <c r="A94" s="25">
        <f>PRZEDMIAR!A167</f>
        <v>32</v>
      </c>
      <c r="B94" s="25" t="str">
        <f>PRZEDMIAR!B167</f>
        <v>M 28.03.01</v>
      </c>
      <c r="C94" s="25" t="str">
        <f>PRZEDMIAR!C167</f>
        <v>51</v>
      </c>
      <c r="D94" s="29" t="str">
        <f>PRZEDMIAR!D167</f>
        <v>Montaż balustrady stalowej "szczeblinkowej"  o wys. H=1100mm</v>
      </c>
      <c r="E94" s="25" t="str">
        <f>PRZEDMIAR!E167</f>
        <v>m</v>
      </c>
      <c r="F94" s="59">
        <f>PRZEDMIAR!F167</f>
        <v>15.8</v>
      </c>
      <c r="G94" s="16"/>
      <c r="H94" s="16" t="str">
        <f>IF(ROUND(F94*G94,2)=0," ",ROUND(F94*G94,2))</f>
        <v> </v>
      </c>
      <c r="J94" s="17"/>
    </row>
    <row r="95" spans="1:10" s="27" customFormat="1" ht="30" customHeight="1">
      <c r="A95" s="25">
        <f>PRZEDMIAR!A170</f>
        <v>33</v>
      </c>
      <c r="B95" s="25" t="str">
        <f>PRZEDMIAR!B170</f>
        <v>M 28.03.01</v>
      </c>
      <c r="C95" s="25" t="str">
        <f>PRZEDMIAR!C170</f>
        <v>71</v>
      </c>
      <c r="D95" s="29" t="str">
        <f>PRZEDMIAR!D170</f>
        <v>Wytworzenie balustrady stalowej</v>
      </c>
      <c r="E95" s="25" t="str">
        <f>PRZEDMIAR!E170</f>
        <v>kg</v>
      </c>
      <c r="F95" s="59">
        <f>PRZEDMIAR!F170</f>
        <v>714.88</v>
      </c>
      <c r="G95" s="16"/>
      <c r="H95" s="16" t="str">
        <f>IF(ROUND(F95*G95,2)=0," ",ROUND(F95*G95,2))</f>
        <v> </v>
      </c>
      <c r="J95" s="17"/>
    </row>
    <row r="96" spans="1:10" s="27" customFormat="1" ht="30" customHeight="1">
      <c r="A96" s="25">
        <f>PRZEDMIAR!A173</f>
        <v>34</v>
      </c>
      <c r="B96" s="25" t="str">
        <f>PRZEDMIAR!B173</f>
        <v>M 28.03.01</v>
      </c>
      <c r="C96" s="25" t="str">
        <f>PRZEDMIAR!C173</f>
        <v>81</v>
      </c>
      <c r="D96" s="29" t="str">
        <f>PRZEDMIAR!D173</f>
        <v>Zabezpieczenie antykorozyjne balustrad poprzez metalizację oraz doszczenienie farbami na bazie żywic EP i PUR</v>
      </c>
      <c r="E96" s="25" t="str">
        <f>PRZEDMIAR!E173</f>
        <v>m2</v>
      </c>
      <c r="F96" s="25">
        <f>PRZEDMIAR!F173</f>
        <v>20.36</v>
      </c>
      <c r="G96" s="16"/>
      <c r="H96" s="16" t="str">
        <f>IF(ROUND(F96*G96,2)=0," ",ROUND(F96*G96,2))</f>
        <v> </v>
      </c>
      <c r="J96" s="17"/>
    </row>
    <row r="97" spans="1:10" s="27" customFormat="1" ht="30" customHeight="1">
      <c r="A97" s="25">
        <f>PRZEDMIAR!A176</f>
        <v>35</v>
      </c>
      <c r="B97" s="25" t="str">
        <f>PRZEDMIAR!B176</f>
        <v>M 28.01.01</v>
      </c>
      <c r="C97" s="25" t="str">
        <f>PRZEDMIAR!C176</f>
        <v>92</v>
      </c>
      <c r="D97" s="29" t="str">
        <f>PRZEDMIAR!D176</f>
        <v>Wykonanie marek kotwiących balustradę na długości belki podporęczowej (gzymsu)</v>
      </c>
      <c r="E97" s="25" t="str">
        <f>PRZEDMIAR!E176</f>
        <v>szt</v>
      </c>
      <c r="F97" s="25">
        <f>PRZEDMIAR!F176</f>
        <v>18</v>
      </c>
      <c r="G97" s="16"/>
      <c r="H97" s="16" t="str">
        <f>IF(ROUND(F97*G97,2)=0," ",ROUND(F97*G97,2))</f>
        <v> </v>
      </c>
      <c r="J97" s="17"/>
    </row>
    <row r="98" spans="1:8" s="82" customFormat="1" ht="30" customHeight="1">
      <c r="A98" s="14" t="str">
        <f>PRZEDMIAR!A179</f>
        <v>x</v>
      </c>
      <c r="B98" s="14" t="str">
        <f>PRZEDMIAR!B179</f>
        <v>M 28.01.01</v>
      </c>
      <c r="C98" s="14"/>
      <c r="D98" s="23" t="str">
        <f>PRZEDMIAR!D179</f>
        <v>BALUSTRADY STALOWE NA DOJŚCIACH DO KŁADKI</v>
      </c>
      <c r="E98" s="14" t="str">
        <f>PRZEDMIAR!E179</f>
        <v>x</v>
      </c>
      <c r="F98" s="28" t="str">
        <f>PRZEDMIAR!F179</f>
        <v>x</v>
      </c>
      <c r="G98" s="14" t="s">
        <v>17</v>
      </c>
      <c r="H98" s="14" t="s">
        <v>17</v>
      </c>
    </row>
    <row r="99" spans="1:10" s="27" customFormat="1" ht="30" customHeight="1">
      <c r="A99" s="25">
        <f>PRZEDMIAR!A180</f>
        <v>36</v>
      </c>
      <c r="B99" s="25" t="str">
        <f>PRZEDMIAR!B180</f>
        <v>M 28.01.01</v>
      </c>
      <c r="C99" s="25" t="str">
        <f>PRZEDMIAR!C180</f>
        <v>51</v>
      </c>
      <c r="D99" s="29" t="str">
        <f>PRZEDMIAR!D180</f>
        <v>Zakup i montaż bariery wygrodzeniowej typu U12a ZDM L-2200</v>
      </c>
      <c r="E99" s="25" t="str">
        <f>PRZEDMIAR!E180</f>
        <v>m</v>
      </c>
      <c r="F99" s="59">
        <f>PRZEDMIAR!F180</f>
        <v>8.8</v>
      </c>
      <c r="G99" s="16"/>
      <c r="H99" s="16" t="str">
        <f>IF(ROUND(F99*G99,2)=0," ",ROUND(F99*G99,2))</f>
        <v> </v>
      </c>
      <c r="J99" s="17"/>
    </row>
    <row r="100" spans="1:10" s="27" customFormat="1" ht="30" customHeight="1">
      <c r="A100" s="25"/>
      <c r="B100" s="30"/>
      <c r="C100" s="31"/>
      <c r="D100" s="179" t="str">
        <f>"RAZEM: "&amp;D92&amp;""</f>
        <v>RAZEM: WYPOSAŻENIE</v>
      </c>
      <c r="E100" s="179"/>
      <c r="F100" s="179"/>
      <c r="G100" s="179"/>
      <c r="H100" s="53" t="str">
        <f>IF(SUM(H94:H99)=0," ",SUM(H94:H99))</f>
        <v> </v>
      </c>
      <c r="I100" s="147"/>
      <c r="J100" s="17"/>
    </row>
    <row r="101" spans="1:10" s="27" customFormat="1" ht="30" customHeight="1">
      <c r="A101" s="61" t="str">
        <f>PRZEDMIAR!A184</f>
        <v>2.9</v>
      </c>
      <c r="B101" s="61" t="str">
        <f>PRZEDMIAR!B184</f>
        <v>M 29.00.00</v>
      </c>
      <c r="C101" s="61"/>
      <c r="D101" s="62" t="str">
        <f>PRZEDMIAR!D184</f>
        <v>ROBOTY PRZYOBIEKTOWE</v>
      </c>
      <c r="E101" s="61" t="str">
        <f>PRZEDMIAR!E184</f>
        <v>x</v>
      </c>
      <c r="F101" s="54" t="str">
        <f>PRZEDMIAR!F184</f>
        <v>x</v>
      </c>
      <c r="G101" s="61" t="s">
        <v>17</v>
      </c>
      <c r="H101" s="61" t="s">
        <v>17</v>
      </c>
      <c r="J101" s="17"/>
    </row>
    <row r="102" spans="1:10" s="27" customFormat="1" ht="30" customHeight="1">
      <c r="A102" s="14" t="str">
        <f>PRZEDMIAR!A185</f>
        <v>x</v>
      </c>
      <c r="B102" s="14" t="str">
        <f>PRZEDMIAR!B185</f>
        <v>M 29.01.01</v>
      </c>
      <c r="C102" s="14"/>
      <c r="D102" s="23" t="str">
        <f>PRZEDMIAR!D185</f>
        <v>ODWODNIENIE ZASYPKI PRZYCZÓŁKA</v>
      </c>
      <c r="E102" s="14" t="str">
        <f>PRZEDMIAR!E185</f>
        <v>x</v>
      </c>
      <c r="F102" s="28" t="str">
        <f>PRZEDMIAR!F185</f>
        <v>x</v>
      </c>
      <c r="G102" s="14" t="s">
        <v>17</v>
      </c>
      <c r="H102" s="14" t="s">
        <v>17</v>
      </c>
      <c r="J102" s="17"/>
    </row>
    <row r="103" spans="1:10" s="27" customFormat="1" ht="30" customHeight="1">
      <c r="A103" s="10">
        <f>PRZEDMIAR!A186</f>
        <v>37</v>
      </c>
      <c r="B103" s="10" t="str">
        <f>PRZEDMIAR!B186</f>
        <v>M 29.01.01</v>
      </c>
      <c r="C103" s="10" t="str">
        <f>PRZEDMIAR!C186</f>
        <v>14</v>
      </c>
      <c r="D103" s="15" t="str">
        <f>PRZEDMIAR!D186</f>
        <v>Wykonanie odwodnienia zasypki przyczółka rurą perforowaną fi 125 mm otoczonej kruszywem łamanym 8/16 w osłonie geowłókniny</v>
      </c>
      <c r="E103" s="10" t="str">
        <f>PRZEDMIAR!E186</f>
        <v>m</v>
      </c>
      <c r="F103" s="16">
        <f>PRZEDMIAR!F186</f>
        <v>15</v>
      </c>
      <c r="G103" s="16"/>
      <c r="H103" s="16" t="str">
        <f>IF(ROUND(F103*G103,2)=0," ",ROUND(F103*G103,2))</f>
        <v> </v>
      </c>
      <c r="J103" s="17"/>
    </row>
    <row r="104" spans="1:10" s="27" customFormat="1" ht="30" customHeight="1">
      <c r="A104" s="14" t="str">
        <f>PRZEDMIAR!A189</f>
        <v>x</v>
      </c>
      <c r="B104" s="14" t="str">
        <f>PRZEDMIAR!B189</f>
        <v>M 29.03.01</v>
      </c>
      <c r="C104" s="14"/>
      <c r="D104" s="23" t="str">
        <f>PRZEDMIAR!D189</f>
        <v>WYKONANIE ZASYPKI PRZYCZÓŁKA </v>
      </c>
      <c r="E104" s="14" t="str">
        <f>PRZEDMIAR!E189</f>
        <v>x</v>
      </c>
      <c r="F104" s="28" t="str">
        <f>PRZEDMIAR!F189</f>
        <v>x</v>
      </c>
      <c r="G104" s="14" t="s">
        <v>17</v>
      </c>
      <c r="H104" s="14" t="s">
        <v>17</v>
      </c>
      <c r="J104" s="17"/>
    </row>
    <row r="105" spans="1:10" s="27" customFormat="1" ht="30" customHeight="1">
      <c r="A105" s="10">
        <f>PRZEDMIAR!A190</f>
        <v>38</v>
      </c>
      <c r="B105" s="10" t="str">
        <f>PRZEDMIAR!B190</f>
        <v>M 29.03.01</v>
      </c>
      <c r="C105" s="10" t="str">
        <f>PRZEDMIAR!C190</f>
        <v>11</v>
      </c>
      <c r="D105" s="15" t="str">
        <f>PRZEDMIAR!D190</f>
        <v>Wykonanie zasypki przyczółka - zasypanie przestrzeni za ścianami przyczółka gruntem niespoistym</v>
      </c>
      <c r="E105" s="10" t="str">
        <f>PRZEDMIAR!E190</f>
        <v>m3</v>
      </c>
      <c r="F105" s="16">
        <f>PRZEDMIAR!F190</f>
        <v>58.2</v>
      </c>
      <c r="G105" s="16"/>
      <c r="H105" s="16" t="str">
        <f>IF(ROUND(F105*G105,2)=0," ",ROUND(F105*G105,2))</f>
        <v> </v>
      </c>
      <c r="J105" s="17"/>
    </row>
    <row r="106" spans="1:10" s="27" customFormat="1" ht="30" customHeight="1">
      <c r="A106" s="25"/>
      <c r="B106" s="30"/>
      <c r="C106" s="31"/>
      <c r="D106" s="179" t="str">
        <f>"RAZEM: "&amp;D101&amp;""</f>
        <v>RAZEM: ROBOTY PRZYOBIEKTOWE</v>
      </c>
      <c r="E106" s="179"/>
      <c r="F106" s="179"/>
      <c r="G106" s="179"/>
      <c r="H106" s="53" t="str">
        <f>IF(SUM(H103:H105)=0," ",SUM(H103:H105))</f>
        <v> </v>
      </c>
      <c r="J106" s="17"/>
    </row>
    <row r="107" spans="1:10" s="27" customFormat="1" ht="30" customHeight="1">
      <c r="A107" s="61" t="str">
        <f>PRZEDMIAR!A193</f>
        <v>2.10</v>
      </c>
      <c r="B107" s="61" t="str">
        <f>PRZEDMIAR!B193</f>
        <v>M 29.30.00</v>
      </c>
      <c r="C107" s="61"/>
      <c r="D107" s="61" t="str">
        <f>PRZEDMIAR!D193</f>
        <v>ROBOTY REGULACYJNE</v>
      </c>
      <c r="E107" s="61" t="str">
        <f>PRZEDMIAR!E193</f>
        <v>x</v>
      </c>
      <c r="F107" s="61" t="str">
        <f>PRZEDMIAR!F193</f>
        <v>x</v>
      </c>
      <c r="G107" s="61" t="s">
        <v>17</v>
      </c>
      <c r="H107" s="61" t="s">
        <v>17</v>
      </c>
      <c r="J107" s="17"/>
    </row>
    <row r="108" spans="1:10" s="27" customFormat="1" ht="30" customHeight="1">
      <c r="A108" s="14" t="str">
        <f>PRZEDMIAR!A194</f>
        <v>x</v>
      </c>
      <c r="B108" s="14" t="str">
        <f>PRZEDMIAR!B194</f>
        <v>M 29.30.01</v>
      </c>
      <c r="C108" s="14"/>
      <c r="D108" s="23" t="str">
        <f>PRZEDMIAR!D194</f>
        <v>UMOCNIENIE KONSTRUKCJAMI KAMIENNYMI SKARP I DNA RZEK, KANALÓW I ROWÓW</v>
      </c>
      <c r="E108" s="14" t="str">
        <f>PRZEDMIAR!E194</f>
        <v>x</v>
      </c>
      <c r="F108" s="28" t="str">
        <f>PRZEDMIAR!F194</f>
        <v>x</v>
      </c>
      <c r="G108" s="14" t="s">
        <v>17</v>
      </c>
      <c r="H108" s="14" t="s">
        <v>17</v>
      </c>
      <c r="J108" s="17"/>
    </row>
    <row r="109" spans="1:8" s="82" customFormat="1" ht="30" customHeight="1">
      <c r="A109" s="10">
        <f>PRZEDMIAR!A195</f>
        <v>39</v>
      </c>
      <c r="B109" s="10" t="str">
        <f>PRZEDMIAR!B195</f>
        <v>M 29.30.01</v>
      </c>
      <c r="C109" s="10" t="str">
        <f>PRZEDMIAR!C195</f>
        <v>01</v>
      </c>
      <c r="D109" s="15" t="str">
        <f>PRZEDMIAR!D195</f>
        <v>Profilowanie i oczyszczenie dna rzeki</v>
      </c>
      <c r="E109" s="10" t="str">
        <f>PRZEDMIAR!E195</f>
        <v>m3</v>
      </c>
      <c r="F109" s="16">
        <f>PRZEDMIAR!F195</f>
        <v>12</v>
      </c>
      <c r="G109" s="11"/>
      <c r="H109" s="16" t="str">
        <f>IF(ROUND(F109*G109,2)=0," ",ROUND(F109*G109,2))</f>
        <v> </v>
      </c>
    </row>
    <row r="110" spans="1:10" s="27" customFormat="1" ht="30" customHeight="1">
      <c r="A110" s="10">
        <f>PRZEDMIAR!A198</f>
        <v>40</v>
      </c>
      <c r="B110" s="10" t="str">
        <f>PRZEDMIAR!B198</f>
        <v>M 29.30.01</v>
      </c>
      <c r="C110" s="10" t="str">
        <f>PRZEDMIAR!C198</f>
        <v>11</v>
      </c>
      <c r="D110" s="15" t="str">
        <f>PRZEDMIAR!D198</f>
        <v>Wykonanie koszy siatkowo - kamiennych 100x50 cm</v>
      </c>
      <c r="E110" s="10" t="str">
        <f>PRZEDMIAR!E198</f>
        <v>m3</v>
      </c>
      <c r="F110" s="16">
        <f>PRZEDMIAR!F198</f>
        <v>20</v>
      </c>
      <c r="G110" s="11"/>
      <c r="H110" s="16" t="str">
        <f>IF(ROUND(F110*G110,2)=0," ",ROUND(F110*G110,2))</f>
        <v> </v>
      </c>
      <c r="J110" s="17"/>
    </row>
    <row r="111" spans="1:10" s="27" customFormat="1" ht="30" customHeight="1">
      <c r="A111" s="10">
        <f>PRZEDMIAR!A201</f>
        <v>41</v>
      </c>
      <c r="B111" s="10" t="str">
        <f>PRZEDMIAR!B201</f>
        <v>M 29.30.01</v>
      </c>
      <c r="C111" s="10" t="str">
        <f>PRZEDMIAR!C201</f>
        <v>11</v>
      </c>
      <c r="D111" s="15" t="str">
        <f>PRZEDMIAR!D201</f>
        <v>Wykonanie koszy siatkowo - kamiennych 100x100 cm</v>
      </c>
      <c r="E111" s="10" t="str">
        <f>PRZEDMIAR!E201</f>
        <v>m3</v>
      </c>
      <c r="F111" s="16">
        <f>PRZEDMIAR!F201</f>
        <v>8</v>
      </c>
      <c r="G111" s="11"/>
      <c r="H111" s="16" t="str">
        <f>IF(ROUND(F111*G111,2)=0," ",ROUND(F111*G111,2))</f>
        <v> </v>
      </c>
      <c r="J111" s="86"/>
    </row>
    <row r="112" spans="1:10" s="27" customFormat="1" ht="19.5" customHeight="1">
      <c r="A112" s="25"/>
      <c r="B112" s="30"/>
      <c r="C112" s="31"/>
      <c r="D112" s="179" t="str">
        <f>"RAZEM: "&amp;D101&amp;""</f>
        <v>RAZEM: ROBOTY PRZYOBIEKTOWE</v>
      </c>
      <c r="E112" s="179"/>
      <c r="F112" s="179"/>
      <c r="G112" s="179"/>
      <c r="H112" s="53" t="str">
        <f>IF(SUM(H109:H111)=0," ",SUM(H109:H111))</f>
        <v> </v>
      </c>
      <c r="J112" s="17"/>
    </row>
    <row r="113" spans="1:12" s="27" customFormat="1" ht="40.5" customHeight="1">
      <c r="A113" s="61" t="str">
        <f>PRZEDMIAR!A204</f>
        <v>2.11</v>
      </c>
      <c r="B113" s="61" t="str">
        <f>PRZEDMIAR!B204</f>
        <v>M 30.00.00</v>
      </c>
      <c r="C113" s="61"/>
      <c r="D113" s="62" t="str">
        <f>PRZEDMIAR!D204</f>
        <v>ROBOTY NAWIERZCHNIOWE I ZABEZPIECZAJĄCE</v>
      </c>
      <c r="E113" s="61" t="str">
        <f>PRZEDMIAR!E204</f>
        <v>x</v>
      </c>
      <c r="F113" s="54" t="str">
        <f>PRZEDMIAR!F204</f>
        <v>x</v>
      </c>
      <c r="G113" s="61" t="s">
        <v>17</v>
      </c>
      <c r="H113" s="61" t="s">
        <v>17</v>
      </c>
      <c r="J113" s="56"/>
      <c r="L113" s="149"/>
    </row>
    <row r="114" spans="1:10" s="27" customFormat="1" ht="30" customHeight="1">
      <c r="A114" s="14" t="str">
        <f>PRZEDMIAR!A205</f>
        <v>x</v>
      </c>
      <c r="B114" s="14" t="str">
        <f>PRZEDMIAR!B205</f>
        <v>M 30.20.00</v>
      </c>
      <c r="C114" s="14"/>
      <c r="D114" s="23" t="str">
        <f>PRZEDMIAR!D205</f>
        <v>ZABEZPIECZENIE ANTYKOROZYJNE POWIERZCHNI BETONU</v>
      </c>
      <c r="E114" s="14" t="str">
        <f>PRZEDMIAR!E205</f>
        <v>x</v>
      </c>
      <c r="F114" s="28" t="str">
        <f>PRZEDMIAR!F205</f>
        <v>x</v>
      </c>
      <c r="G114" s="14" t="s">
        <v>17</v>
      </c>
      <c r="H114" s="14" t="s">
        <v>17</v>
      </c>
      <c r="J114" s="17"/>
    </row>
    <row r="115" spans="1:10" s="27" customFormat="1" ht="30" customHeight="1">
      <c r="A115" s="10">
        <f>PRZEDMIAR!A207</f>
        <v>42</v>
      </c>
      <c r="B115" s="10" t="str">
        <f>PRZEDMIAR!B207</f>
        <v>M 30.20.05</v>
      </c>
      <c r="C115" s="10">
        <f>PRZEDMIAR!C207</f>
        <v>11</v>
      </c>
      <c r="D115" s="15" t="str">
        <f>PRZEDMIAR!D207</f>
        <v>Wykonanie powłok malarskich akrylowych, malowanie dwukrotne powierzchni betonowych pionowych</v>
      </c>
      <c r="E115" s="10" t="str">
        <f>PRZEDMIAR!E207</f>
        <v>m2</v>
      </c>
      <c r="F115" s="16">
        <f>PRZEDMIAR!F207</f>
        <v>7.8</v>
      </c>
      <c r="G115" s="16"/>
      <c r="H115" s="16" t="str">
        <f>IF(ROUND(F115*G115,2)=0," ",ROUND(F115*G115,2))</f>
        <v> </v>
      </c>
      <c r="J115" s="17"/>
    </row>
    <row r="116" spans="1:10" s="27" customFormat="1" ht="30" customHeight="1">
      <c r="A116" s="25"/>
      <c r="B116" s="30"/>
      <c r="C116" s="31"/>
      <c r="D116" s="179" t="str">
        <f>"RAZEM: "&amp;D113&amp;""</f>
        <v>RAZEM: ROBOTY NAWIERZCHNIOWE I ZABEZPIECZAJĄCE</v>
      </c>
      <c r="E116" s="179"/>
      <c r="F116" s="179"/>
      <c r="G116" s="179"/>
      <c r="H116" s="53" t="str">
        <f>IF(SUM(H115)=0," ",SUM(H115))</f>
        <v> </v>
      </c>
      <c r="J116" s="17"/>
    </row>
    <row r="117" spans="1:10" s="27" customFormat="1" ht="28.5" customHeight="1">
      <c r="A117" s="180" t="str">
        <f>"OGÓŁEM: "&amp;B48&amp;""</f>
        <v>OGÓŁEM: ROBOTY MOSTOWE</v>
      </c>
      <c r="B117" s="181"/>
      <c r="C117" s="181"/>
      <c r="D117" s="181"/>
      <c r="E117" s="181"/>
      <c r="F117" s="181"/>
      <c r="G117" s="181"/>
      <c r="H117" s="54" t="str">
        <f>IF(SUM(H54,H60,H68,H73,H77,H83,H91,H100,H106,H112,H116)=0," ",SUM(H54,H60,H68,H73,H77,H83,H91,H100,H106,H112,H116))</f>
        <v> </v>
      </c>
      <c r="J117" s="17"/>
    </row>
    <row r="118" spans="1:10" s="27" customFormat="1" ht="28.5" customHeight="1" thickBot="1">
      <c r="A118" s="178" t="str">
        <f>"RAZEM: "&amp;A3&amp;""</f>
        <v>RAZEM: REMONT MOSTU </v>
      </c>
      <c r="B118" s="178"/>
      <c r="C118" s="178"/>
      <c r="D118" s="178"/>
      <c r="E118" s="178"/>
      <c r="F118" s="178"/>
      <c r="G118" s="210"/>
      <c r="H118" s="55" t="str">
        <f>IF(SUM(H47,H117)=0," ",(SUM(H47,H117)))</f>
        <v> </v>
      </c>
      <c r="J118" s="17"/>
    </row>
    <row r="119" spans="1:10" s="27" customFormat="1" ht="28.5" customHeight="1" thickBot="1">
      <c r="A119" s="211" t="s">
        <v>396</v>
      </c>
      <c r="B119" s="212"/>
      <c r="C119" s="212"/>
      <c r="D119" s="212"/>
      <c r="E119" s="212"/>
      <c r="F119" s="212"/>
      <c r="G119" s="150">
        <v>0.23</v>
      </c>
      <c r="H119" s="148" t="str">
        <f>IF(H118=" "," ",H118*G119)</f>
        <v> </v>
      </c>
      <c r="J119" s="17"/>
    </row>
    <row r="120" spans="1:10" s="27" customFormat="1" ht="28.5" customHeight="1">
      <c r="A120" s="178" t="str">
        <f>"RAZEM: "&amp;A3&amp;""</f>
        <v>RAZEM: REMONT MOSTU </v>
      </c>
      <c r="B120" s="178"/>
      <c r="C120" s="178"/>
      <c r="D120" s="178"/>
      <c r="E120" s="178"/>
      <c r="F120" s="178"/>
      <c r="G120" s="213"/>
      <c r="H120" s="55" t="str">
        <f>IF(SUM(H119,H118)=0," ",(SUM(H119,H118)))</f>
        <v> </v>
      </c>
      <c r="J120" s="17"/>
    </row>
    <row r="121" spans="1:10" s="35" customFormat="1" ht="30" customHeight="1">
      <c r="A121" s="32"/>
      <c r="B121" s="32"/>
      <c r="C121" s="33"/>
      <c r="D121" s="34"/>
      <c r="F121" s="64"/>
      <c r="G121" s="36"/>
      <c r="H121" s="36"/>
      <c r="J121" s="17"/>
    </row>
    <row r="122" spans="1:10" s="35" customFormat="1" ht="30" customHeight="1">
      <c r="A122" s="32"/>
      <c r="B122" s="32"/>
      <c r="C122" s="33"/>
      <c r="D122" s="34"/>
      <c r="F122" s="64"/>
      <c r="G122" s="36"/>
      <c r="H122" s="36"/>
      <c r="J122" s="17"/>
    </row>
    <row r="123" spans="1:10" s="35" customFormat="1" ht="30" customHeight="1">
      <c r="A123" s="32"/>
      <c r="B123" s="32"/>
      <c r="C123" s="33"/>
      <c r="D123" s="34"/>
      <c r="F123" s="64"/>
      <c r="G123" s="36"/>
      <c r="H123" s="36"/>
      <c r="J123" s="17"/>
    </row>
    <row r="124" spans="1:10" s="35" customFormat="1" ht="54.75" customHeight="1">
      <c r="A124" s="32"/>
      <c r="B124" s="32"/>
      <c r="C124" s="33"/>
      <c r="D124" s="34"/>
      <c r="F124" s="64"/>
      <c r="G124" s="36"/>
      <c r="H124" s="36"/>
      <c r="J124" s="17"/>
    </row>
    <row r="125" spans="1:10" s="35" customFormat="1" ht="30" customHeight="1">
      <c r="A125" s="32"/>
      <c r="B125" s="32"/>
      <c r="C125" s="33"/>
      <c r="D125" s="34"/>
      <c r="F125" s="64"/>
      <c r="G125" s="36"/>
      <c r="H125" s="36"/>
      <c r="J125" s="17"/>
    </row>
    <row r="126" spans="1:10" s="35" customFormat="1" ht="30" customHeight="1">
      <c r="A126" s="32"/>
      <c r="B126" s="32"/>
      <c r="C126" s="33"/>
      <c r="D126" s="34"/>
      <c r="F126" s="64"/>
      <c r="G126" s="36"/>
      <c r="H126" s="36"/>
      <c r="J126" s="17"/>
    </row>
    <row r="127" spans="1:10" s="35" customFormat="1" ht="39.75" customHeight="1">
      <c r="A127" s="32"/>
      <c r="B127" s="32"/>
      <c r="C127" s="33"/>
      <c r="D127" s="34"/>
      <c r="F127" s="64"/>
      <c r="G127" s="36"/>
      <c r="H127" s="36"/>
      <c r="J127" s="17"/>
    </row>
    <row r="128" spans="1:10" s="35" customFormat="1" ht="30" customHeight="1">
      <c r="A128" s="32"/>
      <c r="B128" s="32"/>
      <c r="C128" s="33"/>
      <c r="D128" s="34"/>
      <c r="F128" s="64"/>
      <c r="G128" s="36"/>
      <c r="H128" s="36"/>
      <c r="J128" s="17"/>
    </row>
    <row r="129" spans="1:10" s="35" customFormat="1" ht="30" customHeight="1">
      <c r="A129" s="32"/>
      <c r="B129" s="32"/>
      <c r="C129" s="33"/>
      <c r="D129" s="34"/>
      <c r="F129" s="64"/>
      <c r="G129" s="36"/>
      <c r="H129" s="36"/>
      <c r="J129" s="17"/>
    </row>
    <row r="130" spans="1:10" s="35" customFormat="1" ht="30" customHeight="1">
      <c r="A130" s="32"/>
      <c r="B130" s="32"/>
      <c r="C130" s="33"/>
      <c r="D130" s="34"/>
      <c r="F130" s="64"/>
      <c r="G130" s="36"/>
      <c r="H130" s="36"/>
      <c r="J130" s="17"/>
    </row>
    <row r="131" spans="1:10" s="35" customFormat="1" ht="56.25" customHeight="1">
      <c r="A131" s="32"/>
      <c r="B131" s="32"/>
      <c r="C131" s="33"/>
      <c r="D131" s="34"/>
      <c r="F131" s="64"/>
      <c r="G131" s="36"/>
      <c r="H131" s="36"/>
      <c r="J131" s="17"/>
    </row>
    <row r="132" spans="1:10" s="35" customFormat="1" ht="30" customHeight="1">
      <c r="A132" s="32"/>
      <c r="B132" s="32"/>
      <c r="C132" s="33"/>
      <c r="D132" s="34"/>
      <c r="F132" s="64"/>
      <c r="G132" s="36"/>
      <c r="H132" s="36"/>
      <c r="J132" s="17"/>
    </row>
    <row r="133" spans="1:10" s="35" customFormat="1" ht="30" customHeight="1">
      <c r="A133" s="32"/>
      <c r="B133" s="32"/>
      <c r="C133" s="33"/>
      <c r="D133" s="34"/>
      <c r="F133" s="64"/>
      <c r="G133" s="36"/>
      <c r="H133" s="36"/>
      <c r="J133" s="17"/>
    </row>
    <row r="134" spans="1:10" s="35" customFormat="1" ht="30" customHeight="1">
      <c r="A134" s="32"/>
      <c r="B134" s="32"/>
      <c r="C134" s="33"/>
      <c r="D134" s="34"/>
      <c r="F134" s="64"/>
      <c r="G134" s="36"/>
      <c r="H134" s="36"/>
      <c r="J134" s="17"/>
    </row>
    <row r="135" spans="1:10" s="35" customFormat="1" ht="30" customHeight="1">
      <c r="A135" s="32"/>
      <c r="B135" s="32"/>
      <c r="C135" s="33"/>
      <c r="D135" s="34"/>
      <c r="F135" s="64"/>
      <c r="G135" s="36"/>
      <c r="H135" s="36"/>
      <c r="J135" s="17"/>
    </row>
    <row r="136" spans="1:10" s="35" customFormat="1" ht="30" customHeight="1">
      <c r="A136" s="32"/>
      <c r="B136" s="32"/>
      <c r="C136" s="33"/>
      <c r="D136" s="34"/>
      <c r="F136" s="64"/>
      <c r="G136" s="36"/>
      <c r="H136" s="36"/>
      <c r="J136" s="17"/>
    </row>
    <row r="137" spans="1:10" s="35" customFormat="1" ht="30" customHeight="1">
      <c r="A137" s="32"/>
      <c r="B137" s="32"/>
      <c r="C137" s="33"/>
      <c r="D137" s="34"/>
      <c r="F137" s="64"/>
      <c r="G137" s="36"/>
      <c r="H137" s="36"/>
      <c r="J137" s="17"/>
    </row>
    <row r="138" spans="1:10" s="35" customFormat="1" ht="30" customHeight="1">
      <c r="A138" s="32"/>
      <c r="B138" s="32"/>
      <c r="C138" s="33"/>
      <c r="D138" s="34"/>
      <c r="F138" s="64"/>
      <c r="G138" s="36"/>
      <c r="H138" s="36"/>
      <c r="J138" s="17"/>
    </row>
    <row r="139" spans="1:10" s="35" customFormat="1" ht="30" customHeight="1">
      <c r="A139" s="32"/>
      <c r="B139" s="32"/>
      <c r="C139" s="33"/>
      <c r="D139" s="34"/>
      <c r="F139" s="64"/>
      <c r="G139" s="36"/>
      <c r="H139" s="36"/>
      <c r="J139" s="17"/>
    </row>
    <row r="140" spans="1:10" s="35" customFormat="1" ht="30" customHeight="1">
      <c r="A140" s="32"/>
      <c r="B140" s="32"/>
      <c r="C140" s="33"/>
      <c r="D140" s="34"/>
      <c r="F140" s="64"/>
      <c r="G140" s="36"/>
      <c r="H140" s="36"/>
      <c r="J140" s="17"/>
    </row>
    <row r="141" spans="1:10" s="35" customFormat="1" ht="30" customHeight="1">
      <c r="A141" s="32"/>
      <c r="B141" s="32"/>
      <c r="C141" s="33"/>
      <c r="D141" s="34"/>
      <c r="F141" s="64"/>
      <c r="G141" s="36"/>
      <c r="H141" s="36"/>
      <c r="J141" s="17"/>
    </row>
    <row r="142" spans="1:10" s="35" customFormat="1" ht="30" customHeight="1">
      <c r="A142" s="32"/>
      <c r="B142" s="32"/>
      <c r="C142" s="33"/>
      <c r="D142" s="34"/>
      <c r="F142" s="64"/>
      <c r="G142" s="36"/>
      <c r="H142" s="36"/>
      <c r="J142" s="17"/>
    </row>
    <row r="143" spans="1:10" s="35" customFormat="1" ht="30" customHeight="1">
      <c r="A143" s="32"/>
      <c r="B143" s="32"/>
      <c r="C143" s="33"/>
      <c r="D143" s="34"/>
      <c r="F143" s="64"/>
      <c r="G143" s="36"/>
      <c r="H143" s="36"/>
      <c r="J143" s="17"/>
    </row>
    <row r="144" spans="1:10" s="35" customFormat="1" ht="30" customHeight="1">
      <c r="A144" s="32"/>
      <c r="B144" s="32"/>
      <c r="C144" s="33"/>
      <c r="D144" s="34"/>
      <c r="F144" s="64"/>
      <c r="G144" s="36"/>
      <c r="H144" s="36"/>
      <c r="J144" s="17"/>
    </row>
    <row r="145" spans="1:10" s="35" customFormat="1" ht="30" customHeight="1">
      <c r="A145" s="37"/>
      <c r="B145" s="37"/>
      <c r="C145" s="38"/>
      <c r="D145" s="39"/>
      <c r="E145" s="17"/>
      <c r="F145" s="65"/>
      <c r="G145" s="40"/>
      <c r="H145" s="40"/>
      <c r="J145" s="17"/>
    </row>
    <row r="146" spans="1:10" s="35" customFormat="1" ht="30" customHeight="1">
      <c r="A146" s="37"/>
      <c r="B146" s="37"/>
      <c r="C146" s="38"/>
      <c r="D146" s="39"/>
      <c r="E146" s="17"/>
      <c r="F146" s="65"/>
      <c r="G146" s="40"/>
      <c r="H146" s="40"/>
      <c r="J146" s="17"/>
    </row>
    <row r="147" spans="1:10" s="35" customFormat="1" ht="30" customHeight="1">
      <c r="A147" s="37"/>
      <c r="B147" s="37"/>
      <c r="C147" s="38"/>
      <c r="D147" s="39"/>
      <c r="E147" s="17"/>
      <c r="F147" s="65"/>
      <c r="G147" s="40"/>
      <c r="H147" s="40"/>
      <c r="J147" s="17"/>
    </row>
    <row r="148" spans="1:10" s="35" customFormat="1" ht="30" customHeight="1">
      <c r="A148" s="37"/>
      <c r="B148" s="37"/>
      <c r="C148" s="38"/>
      <c r="D148" s="39"/>
      <c r="E148" s="17"/>
      <c r="F148" s="65"/>
      <c r="G148" s="40"/>
      <c r="H148" s="40"/>
      <c r="J148" s="17"/>
    </row>
    <row r="149" spans="1:10" s="35" customFormat="1" ht="30" customHeight="1">
      <c r="A149" s="37"/>
      <c r="B149" s="37"/>
      <c r="C149" s="38"/>
      <c r="D149" s="39"/>
      <c r="E149" s="17"/>
      <c r="F149" s="65"/>
      <c r="G149" s="40"/>
      <c r="H149" s="40"/>
      <c r="J149" s="17"/>
    </row>
    <row r="150" spans="1:10" s="35" customFormat="1" ht="30" customHeight="1">
      <c r="A150" s="37"/>
      <c r="B150" s="37"/>
      <c r="C150" s="38"/>
      <c r="D150" s="39"/>
      <c r="E150" s="17"/>
      <c r="F150" s="65"/>
      <c r="G150" s="40"/>
      <c r="H150" s="40"/>
      <c r="J150" s="17"/>
    </row>
    <row r="151" spans="1:10" s="35" customFormat="1" ht="30" customHeight="1">
      <c r="A151" s="37"/>
      <c r="B151" s="37"/>
      <c r="C151" s="38"/>
      <c r="D151" s="39"/>
      <c r="E151" s="17"/>
      <c r="F151" s="65"/>
      <c r="G151" s="40"/>
      <c r="H151" s="40"/>
      <c r="J151" s="17"/>
    </row>
    <row r="152" spans="1:10" s="35" customFormat="1" ht="30" customHeight="1">
      <c r="A152" s="37"/>
      <c r="B152" s="37"/>
      <c r="C152" s="38"/>
      <c r="D152" s="39"/>
      <c r="E152" s="17"/>
      <c r="F152" s="65"/>
      <c r="G152" s="40"/>
      <c r="H152" s="40"/>
      <c r="J152" s="17"/>
    </row>
    <row r="153" spans="1:10" s="35" customFormat="1" ht="30" customHeight="1">
      <c r="A153" s="37"/>
      <c r="B153" s="37"/>
      <c r="C153" s="38"/>
      <c r="D153" s="39"/>
      <c r="E153" s="17"/>
      <c r="F153" s="65"/>
      <c r="G153" s="40"/>
      <c r="H153" s="40"/>
      <c r="J153" s="17"/>
    </row>
    <row r="154" spans="1:10" s="35" customFormat="1" ht="30" customHeight="1">
      <c r="A154" s="37"/>
      <c r="B154" s="37"/>
      <c r="C154" s="38"/>
      <c r="D154" s="39"/>
      <c r="E154" s="17"/>
      <c r="F154" s="65"/>
      <c r="G154" s="40"/>
      <c r="H154" s="40"/>
      <c r="J154" s="17"/>
    </row>
    <row r="155" spans="1:10" s="35" customFormat="1" ht="30" customHeight="1">
      <c r="A155" s="37"/>
      <c r="B155" s="37"/>
      <c r="C155" s="38"/>
      <c r="D155" s="39"/>
      <c r="E155" s="17"/>
      <c r="F155" s="65"/>
      <c r="G155" s="40"/>
      <c r="H155" s="40"/>
      <c r="J155" s="17"/>
    </row>
    <row r="156" spans="1:10" s="35" customFormat="1" ht="30" customHeight="1">
      <c r="A156" s="37"/>
      <c r="B156" s="37"/>
      <c r="C156" s="38"/>
      <c r="D156" s="39"/>
      <c r="E156" s="17"/>
      <c r="F156" s="65"/>
      <c r="G156" s="40"/>
      <c r="H156" s="40"/>
      <c r="J156" s="17"/>
    </row>
    <row r="157" spans="1:10" s="35" customFormat="1" ht="30" customHeight="1">
      <c r="A157" s="37"/>
      <c r="B157" s="37"/>
      <c r="C157" s="38"/>
      <c r="D157" s="39"/>
      <c r="E157" s="17"/>
      <c r="F157" s="65"/>
      <c r="G157" s="40"/>
      <c r="H157" s="40"/>
      <c r="J157" s="17"/>
    </row>
    <row r="158" spans="1:10" s="35" customFormat="1" ht="30" customHeight="1">
      <c r="A158" s="37"/>
      <c r="B158" s="37"/>
      <c r="C158" s="38"/>
      <c r="D158" s="39"/>
      <c r="E158" s="17"/>
      <c r="F158" s="65"/>
      <c r="G158" s="40"/>
      <c r="H158" s="40"/>
      <c r="J158" s="17"/>
    </row>
    <row r="159" spans="1:10" s="35" customFormat="1" ht="30" customHeight="1">
      <c r="A159" s="37"/>
      <c r="B159" s="37"/>
      <c r="C159" s="38"/>
      <c r="D159" s="39"/>
      <c r="E159" s="17"/>
      <c r="F159" s="65"/>
      <c r="G159" s="40"/>
      <c r="H159" s="40"/>
      <c r="J159" s="17"/>
    </row>
    <row r="160" spans="1:10" s="35" customFormat="1" ht="30" customHeight="1">
      <c r="A160" s="37"/>
      <c r="B160" s="37"/>
      <c r="C160" s="38"/>
      <c r="D160" s="39"/>
      <c r="E160" s="17"/>
      <c r="F160" s="65"/>
      <c r="G160" s="40"/>
      <c r="H160" s="40"/>
      <c r="J160" s="17"/>
    </row>
    <row r="161" spans="1:10" s="35" customFormat="1" ht="30" customHeight="1">
      <c r="A161" s="37"/>
      <c r="B161" s="37"/>
      <c r="C161" s="38"/>
      <c r="D161" s="39"/>
      <c r="E161" s="17"/>
      <c r="F161" s="65"/>
      <c r="G161" s="40"/>
      <c r="H161" s="40"/>
      <c r="J161" s="17"/>
    </row>
    <row r="162" spans="1:10" s="35" customFormat="1" ht="30" customHeight="1">
      <c r="A162" s="37"/>
      <c r="B162" s="37"/>
      <c r="C162" s="38"/>
      <c r="D162" s="39"/>
      <c r="E162" s="17"/>
      <c r="F162" s="65"/>
      <c r="G162" s="40"/>
      <c r="H162" s="40"/>
      <c r="J162" s="17"/>
    </row>
    <row r="163" spans="1:10" s="35" customFormat="1" ht="30" customHeight="1">
      <c r="A163" s="37"/>
      <c r="B163" s="37"/>
      <c r="C163" s="38"/>
      <c r="D163" s="39"/>
      <c r="E163" s="17"/>
      <c r="F163" s="65"/>
      <c r="G163" s="40"/>
      <c r="H163" s="40"/>
      <c r="J163" s="17"/>
    </row>
    <row r="164" spans="1:10" s="35" customFormat="1" ht="30" customHeight="1">
      <c r="A164" s="37"/>
      <c r="B164" s="37"/>
      <c r="C164" s="38"/>
      <c r="D164" s="39"/>
      <c r="E164" s="17"/>
      <c r="F164" s="65"/>
      <c r="G164" s="40"/>
      <c r="H164" s="40"/>
      <c r="J164" s="17"/>
    </row>
    <row r="165" spans="1:10" s="35" customFormat="1" ht="30" customHeight="1">
      <c r="A165" s="37"/>
      <c r="B165" s="37"/>
      <c r="C165" s="38"/>
      <c r="D165" s="39"/>
      <c r="E165" s="17"/>
      <c r="F165" s="65"/>
      <c r="G165" s="40"/>
      <c r="H165" s="40"/>
      <c r="J165" s="17"/>
    </row>
  </sheetData>
  <sheetProtection/>
  <mergeCells count="33">
    <mergeCell ref="B7:H7"/>
    <mergeCell ref="B48:H48"/>
    <mergeCell ref="D106:G106"/>
    <mergeCell ref="A47:G47"/>
    <mergeCell ref="D73:G73"/>
    <mergeCell ref="D18:G18"/>
    <mergeCell ref="D23:G23"/>
    <mergeCell ref="D36:G36"/>
    <mergeCell ref="D42:G42"/>
    <mergeCell ref="D77:G77"/>
    <mergeCell ref="A1:H1"/>
    <mergeCell ref="A2:H2"/>
    <mergeCell ref="A3:H3"/>
    <mergeCell ref="A5:A6"/>
    <mergeCell ref="B5:B6"/>
    <mergeCell ref="C5:C6"/>
    <mergeCell ref="D5:D6"/>
    <mergeCell ref="E5:F5"/>
    <mergeCell ref="G5:G6"/>
    <mergeCell ref="H5:H6"/>
    <mergeCell ref="D46:G46"/>
    <mergeCell ref="A120:G120"/>
    <mergeCell ref="D60:G60"/>
    <mergeCell ref="D68:G68"/>
    <mergeCell ref="D54:G54"/>
    <mergeCell ref="D100:G100"/>
    <mergeCell ref="D116:G116"/>
    <mergeCell ref="D112:G112"/>
    <mergeCell ref="A117:G117"/>
    <mergeCell ref="A118:G118"/>
    <mergeCell ref="A119:F119"/>
    <mergeCell ref="D83:G83"/>
    <mergeCell ref="D91:G91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600" verticalDpi="600" orientation="portrait" paperSize="9" scale="70" r:id="rId1"/>
  <rowBreaks count="3" manualBreakCount="3">
    <brk id="36" max="7" man="1"/>
    <brk id="47" max="255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Gaździk</dc:creator>
  <cp:keywords/>
  <dc:description/>
  <cp:lastModifiedBy>Admin</cp:lastModifiedBy>
  <cp:lastPrinted>2015-03-24T05:47:30Z</cp:lastPrinted>
  <dcterms:created xsi:type="dcterms:W3CDTF">2004-10-02T15:15:25Z</dcterms:created>
  <dcterms:modified xsi:type="dcterms:W3CDTF">2015-03-24T05:48:22Z</dcterms:modified>
  <cp:category/>
  <cp:version/>
  <cp:contentType/>
  <cp:contentStatus/>
</cp:coreProperties>
</file>