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11760" tabRatio="706" activeTab="1"/>
  </bookViews>
  <sheets>
    <sheet name="OKŁADKA_P" sheetId="1" r:id="rId1"/>
    <sheet name="TABELE" sheetId="2" r:id="rId2"/>
    <sheet name="PRZEDMIAR" sheetId="3" r:id="rId3"/>
    <sheet name="OKŁADKA_O" sheetId="4" r:id="rId4"/>
    <sheet name="ZESTAWIENIE_O" sheetId="5" r:id="rId5"/>
    <sheet name="OFERTOWY" sheetId="6" r:id="rId6"/>
  </sheets>
  <definedNames>
    <definedName name="_xlnm.Print_Area" localSheetId="5">'OFERTOWY'!$A$1:$H$147</definedName>
    <definedName name="_xlnm.Print_Area" localSheetId="2">'PRZEDMIAR'!$A$1:$G$265</definedName>
    <definedName name="_xlnm.Print_Area" localSheetId="1">'TABELE'!$A$1:$I$15,'TABELE'!$A$17:$I$54,'TABELE'!$A$58:$I$70</definedName>
    <definedName name="_xlnm.Print_Titles" localSheetId="5">'OFERTOWY'!$5:$6</definedName>
    <definedName name="_xlnm.Print_Titles" localSheetId="2">'PRZEDMIAR'!$5:$6</definedName>
  </definedNames>
  <calcPr fullCalcOnLoad="1"/>
</workbook>
</file>

<file path=xl/sharedStrings.xml><?xml version="1.0" encoding="utf-8"?>
<sst xmlns="http://schemas.openxmlformats.org/spreadsheetml/2006/main" count="1048" uniqueCount="425">
  <si>
    <t>Zakup krawężników kamiennych 20x20cm z kotwami</t>
  </si>
  <si>
    <t>M 29.30.01</t>
  </si>
  <si>
    <t>UMOCNIENIE KONSTRUKCJAMI KAMIENNYMI SKARP I DNA RZEK, KANALÓW I ROWÓW</t>
  </si>
  <si>
    <t>NAWIERZCHNIA CHODNIKA Z ŻYWIC SYNTETYCZNYCH</t>
  </si>
  <si>
    <t>D 07.00.00</t>
  </si>
  <si>
    <t>OZNAKOWANIE I URZĄDZENIA BEZPIECZEŃSTWA RUCHU</t>
  </si>
  <si>
    <t>D 07.05.01</t>
  </si>
  <si>
    <t>Bariery ochronne stalowe</t>
  </si>
  <si>
    <t>M 29.00.00</t>
  </si>
  <si>
    <t>Lp.</t>
  </si>
  <si>
    <t>km</t>
  </si>
  <si>
    <t>RAZEM</t>
  </si>
  <si>
    <t>m</t>
  </si>
  <si>
    <t>D 01.01.01</t>
  </si>
  <si>
    <t>kg</t>
  </si>
  <si>
    <t>....................</t>
  </si>
  <si>
    <t>(pięczątka Firmy)</t>
  </si>
  <si>
    <t>Sporządził:</t>
  </si>
  <si>
    <t>Upełnomocniony Przedstawiciel Firmy:</t>
  </si>
  <si>
    <t>.....................</t>
  </si>
  <si>
    <t xml:space="preserve">         .....................................</t>
  </si>
  <si>
    <t>(podpis i pieczęć)</t>
  </si>
  <si>
    <t>CZĘŚĆ ZBIORCZA</t>
  </si>
  <si>
    <t>Wyszczególnienie robót</t>
  </si>
  <si>
    <t>Wartość w zł 
(netto)</t>
  </si>
  <si>
    <t>OGÓŁEM</t>
  </si>
  <si>
    <t>Jednostka</t>
  </si>
  <si>
    <t>Nazwa</t>
  </si>
  <si>
    <t>x</t>
  </si>
  <si>
    <t>Cena jednostkowa</t>
  </si>
  <si>
    <t>Wartość netto</t>
  </si>
  <si>
    <t>Wyszczególnienie elementów</t>
  </si>
  <si>
    <t>ROBOTY PRZYGOTOWAWCZE</t>
  </si>
  <si>
    <t>ROBOTY ZIEMNE</t>
  </si>
  <si>
    <t>ROBOTY PRZYOBIEKTOWE</t>
  </si>
  <si>
    <t>Numer  SST (podstawa wyceny)</t>
  </si>
  <si>
    <t>Numer pozycji cenowej</t>
  </si>
  <si>
    <t>Ilość</t>
  </si>
  <si>
    <t>Odtworzenie (wyznaczenie) trasy i punktów wysokościowych</t>
  </si>
  <si>
    <t>D 01.00.00</t>
  </si>
  <si>
    <t>D 02.00.00</t>
  </si>
  <si>
    <t>D 02.01.01</t>
  </si>
  <si>
    <t>Wykonanie wykopów w gruntach kategorii I-V</t>
  </si>
  <si>
    <t>ROBOTY DROGOWE</t>
  </si>
  <si>
    <t>D 05.00.00</t>
  </si>
  <si>
    <t>NAWIERZCHNIE</t>
  </si>
  <si>
    <t>D 05.03.05</t>
  </si>
  <si>
    <t>Nawierzchnia z betonu asfaltowego</t>
  </si>
  <si>
    <t>OGÓŁEM: ROBOTY DROGOWE</t>
  </si>
  <si>
    <t>ROBOTY MOSTOWE</t>
  </si>
  <si>
    <t>01</t>
  </si>
  <si>
    <t>11</t>
  </si>
  <si>
    <t>Wyznaczenie trasy i punktów wysokościowych w terenie równinnym</t>
  </si>
  <si>
    <t>D 01.02.03</t>
  </si>
  <si>
    <t>Wyburzenie obiektów budowlanych</t>
  </si>
  <si>
    <t>D 04.00.00</t>
  </si>
  <si>
    <t>PODBUDOWY</t>
  </si>
  <si>
    <t>D 04.01.01</t>
  </si>
  <si>
    <t>Koryto wraz z profilowaniem i zagęszczaniem podłoża</t>
  </si>
  <si>
    <t>D 08.00.00</t>
  </si>
  <si>
    <t>ELEMENTY ULIC</t>
  </si>
  <si>
    <t>D 08.01.02</t>
  </si>
  <si>
    <t>D 08.02.02</t>
  </si>
  <si>
    <t>Chodniki z brukowej kostki betonowej</t>
  </si>
  <si>
    <t>D 08.03.01</t>
  </si>
  <si>
    <t>Obrzeża betonowe</t>
  </si>
  <si>
    <t>M 28.00.00</t>
  </si>
  <si>
    <t>BARIERO-PORĘCZE</t>
  </si>
  <si>
    <t>Koszt stalowych bariero-poręczy</t>
  </si>
  <si>
    <t>Osadzenie kotew zamocowań balustrad, barier, latarni, itp..</t>
  </si>
  <si>
    <t>M 27.00.00</t>
  </si>
  <si>
    <t>HYDROIZOLACJA</t>
  </si>
  <si>
    <t>M 27.01.00</t>
  </si>
  <si>
    <t>IZOLACJE POWŁOKOWE</t>
  </si>
  <si>
    <t>M 27.01.01</t>
  </si>
  <si>
    <t>POWŁOKA IZOLACYJNA BITUMICZNA - "NA ZIMNO"</t>
  </si>
  <si>
    <t>Wykonanie powłokowej izolacji bitumicznej układanej "na zimno" - powierzchnie pionowe</t>
  </si>
  <si>
    <t>51</t>
  </si>
  <si>
    <t>KRAWĘŻNIKI KAMIENNE</t>
  </si>
  <si>
    <t>Ustawienie krawężników kamiennych na podlewce z mieszanek niskoskurczowych</t>
  </si>
  <si>
    <t>68</t>
  </si>
  <si>
    <t>M 30.00.00</t>
  </si>
  <si>
    <t>ROBOTY NAWIERZCHNIOWE I ZABEZPIECZAJĄCE</t>
  </si>
  <si>
    <t>22</t>
  </si>
  <si>
    <t>Podbudowa z tłucznia kamiennego</t>
  </si>
  <si>
    <t>D 04.04.04</t>
  </si>
  <si>
    <t>12</t>
  </si>
  <si>
    <t>M 30.05.02</t>
  </si>
  <si>
    <t>Wykonanie nawierzchni chodnika z żywicy poliuretanowo - epoksydowej gr. 6mm</t>
  </si>
  <si>
    <t>D 04.03.01</t>
  </si>
  <si>
    <t>Oczyszczenie warstw konstrukcyjnych mechanicznie</t>
  </si>
  <si>
    <t>Skropienie warstw konstrukcyjnych emulsją asfaltową</t>
  </si>
  <si>
    <t>szt</t>
  </si>
  <si>
    <t>15</t>
  </si>
  <si>
    <t>71</t>
  </si>
  <si>
    <t>M 23.00.00</t>
  </si>
  <si>
    <t>USTROJE NOŚNE</t>
  </si>
  <si>
    <t>Koszt prefabrykowanych desek gzymsowych z betonu poliuretanowego</t>
  </si>
  <si>
    <t>55</t>
  </si>
  <si>
    <t>IZOLACJE ARKUSZOWE</t>
  </si>
  <si>
    <t>M 27.02.01</t>
  </si>
  <si>
    <t>Koszt papy zgrzewalnej</t>
  </si>
  <si>
    <t>Wykonanie izolacji z papy zgrzewalnej na betonowych płaszczyznach poziomych - 1 x papa</t>
  </si>
  <si>
    <t>M 26.00.00</t>
  </si>
  <si>
    <t>ODWODNIENIE</t>
  </si>
  <si>
    <t>M 26.01.02</t>
  </si>
  <si>
    <t>SĄCZKI DLA ODWODNIENIA IZOLACJI</t>
  </si>
  <si>
    <t>M 26.01.03</t>
  </si>
  <si>
    <t>DRENY DLA ODWODNIENIA IZOLACJI</t>
  </si>
  <si>
    <t>Wykonanie drenów z kruszywa lakierowanego żywicami syntetycznymi z taśmą</t>
  </si>
  <si>
    <t>Gruntowanie powierzchni kap chodnikowych i gzymsów pod ułożenie nawierzchni z żywic epoksydowych</t>
  </si>
  <si>
    <t>Data opracowania  ..... - ...... - .......</t>
  </si>
  <si>
    <t>Krawężniki betonowe</t>
  </si>
  <si>
    <t>D 08.01.01</t>
  </si>
  <si>
    <t>Ustawienie krawężników betonowych o wymiarach 20x30cm na ławie betonowej z oporem</t>
  </si>
  <si>
    <t>Oczyszczenie i skropienie warstw konstrukcyjnych</t>
  </si>
  <si>
    <t>D 01.02.04</t>
  </si>
  <si>
    <t>Rozbiórka elementów dróg, ogrodzeń i przepustów</t>
  </si>
  <si>
    <t>zł (netto)</t>
  </si>
  <si>
    <t>Słownie</t>
  </si>
  <si>
    <t>VAT 23 %</t>
  </si>
  <si>
    <t>zł (brutto 23% VAT)</t>
  </si>
  <si>
    <t>M 22.51.01</t>
  </si>
  <si>
    <t>32</t>
  </si>
  <si>
    <t>52</t>
  </si>
  <si>
    <t>02</t>
  </si>
  <si>
    <t>M 25.00.00</t>
  </si>
  <si>
    <t>URZĄDZENIA DYLATACYJNE</t>
  </si>
  <si>
    <t>WYPOSAŻENIE</t>
  </si>
  <si>
    <t>58</t>
  </si>
  <si>
    <t>M 28.05.05</t>
  </si>
  <si>
    <t>Wyznaczenie punktów charakterystycznych dla robót umacniających brzegi i dno rzeki</t>
  </si>
  <si>
    <r>
      <t>Ogółem wartość robót</t>
    </r>
    <r>
      <rPr>
        <sz val="10"/>
        <rFont val="Arial"/>
        <family val="2"/>
      </rPr>
      <t>:</t>
    </r>
  </si>
  <si>
    <t>Część</t>
  </si>
  <si>
    <t>szt.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</si>
  <si>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</si>
  <si>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</si>
  <si>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km1</t>
  </si>
  <si>
    <t>km2</t>
  </si>
  <si>
    <t>km rzeki</t>
  </si>
  <si>
    <t>Odtworzenie trasy drogi i mostu:</t>
  </si>
  <si>
    <t>dzielnik</t>
  </si>
  <si>
    <t>NAZWA ZADANIA:</t>
  </si>
  <si>
    <t xml:space="preserve">m </t>
  </si>
  <si>
    <t>RAZEM:</t>
  </si>
  <si>
    <t>-</t>
  </si>
  <si>
    <t>Lp</t>
  </si>
  <si>
    <t>Element</t>
  </si>
  <si>
    <t>Długość</t>
  </si>
  <si>
    <t>Szerokosć</t>
  </si>
  <si>
    <t>Wysokość</t>
  </si>
  <si>
    <t>Objętość razem</t>
  </si>
  <si>
    <t>Objętość jednego elementu</t>
  </si>
  <si>
    <t>OGÓŁEM ROZBIÓRKI:</t>
  </si>
  <si>
    <t>14</t>
  </si>
  <si>
    <t>SUMA</t>
  </si>
  <si>
    <t>Koryta wykonywane mechanicznie wraz z profilowaniem i zagęszczaniem podłoża w gruntach kat. I-VI, głębokość koryta 54cm</t>
  </si>
  <si>
    <t>Koryto na całej szerokości korpusu drogi pod wykonanie warstw podbudowy na odcinkach wykopów</t>
  </si>
  <si>
    <t>ilość stron</t>
  </si>
  <si>
    <t>oczyszczenie warstw bitumicznych</t>
  </si>
  <si>
    <t>skropienie warstw bitumicznych</t>
  </si>
  <si>
    <t>34</t>
  </si>
  <si>
    <t>długość barier</t>
  </si>
  <si>
    <t>stron</t>
  </si>
  <si>
    <t>długość</t>
  </si>
  <si>
    <t>96</t>
  </si>
  <si>
    <t>97</t>
  </si>
  <si>
    <t>M 23.30.00</t>
  </si>
  <si>
    <t>KAPY CHODNIKOWE</t>
  </si>
  <si>
    <t>KAPY CHODNIKOWA Z PREFABRYKOWANĄ DESKĄ GZYMSOWĄ</t>
  </si>
  <si>
    <t>M 23.30.06</t>
  </si>
  <si>
    <t>M 28.15.01</t>
  </si>
  <si>
    <t>Przygotowanie powierzchni betonu kap chodnikowych poprzez czyszczenie strumieniowo-ścierne</t>
  </si>
  <si>
    <t>długość krawężnika</t>
  </si>
  <si>
    <t>Wykonanie uszczelnienia pomiędzy krawężnikiem i betonem chodnika  oraz między deską gzymsową a kapą chodnikową</t>
  </si>
  <si>
    <t>szerokość płyty</t>
  </si>
  <si>
    <t>długość płyty</t>
  </si>
  <si>
    <t>długość drenu</t>
  </si>
  <si>
    <t>mnożnik</t>
  </si>
  <si>
    <t>ilość sączków</t>
  </si>
  <si>
    <t>długośc dylatacji</t>
  </si>
  <si>
    <t>wysokość</t>
  </si>
  <si>
    <t>szerokość</t>
  </si>
  <si>
    <t>kotwy barieropor</t>
  </si>
  <si>
    <t>ciężar stali</t>
  </si>
  <si>
    <t>ilość skrzydeł</t>
  </si>
  <si>
    <t>ilość</t>
  </si>
  <si>
    <t>spawy</t>
  </si>
  <si>
    <t>PODATEK VAT 23%</t>
  </si>
  <si>
    <t>PRZEDMIAR ROBÓT</t>
  </si>
  <si>
    <t>KOSZTORYS OFERTOWY</t>
  </si>
  <si>
    <t>Rozbiórki obiektów kubaturowych wraz z odwozem elementów i gruzu na składowisko Wykonawcy - elementy betonowe i żelbetowe</t>
  </si>
  <si>
    <t>głębokość</t>
  </si>
  <si>
    <t>M 22.00.00</t>
  </si>
  <si>
    <t>M 25.01.13</t>
  </si>
  <si>
    <t>Wykonanie plyty chodnikowej "na mokro" z betonu klasy C25/30 (B-30)</t>
  </si>
  <si>
    <t>współczynnik</t>
  </si>
  <si>
    <t>ilość betonu</t>
  </si>
  <si>
    <t xml:space="preserve">Wykopy - część drogowa, na odkład, Wykopy za przyczółkami w zakresie adaptacji istniejącego przyczółka do nowych rozwiązań. </t>
  </si>
  <si>
    <t>33</t>
  </si>
  <si>
    <t>M 22.51.00</t>
  </si>
  <si>
    <t>PODPORY I KONSTRUKCJE OPOROWE Z BETONU</t>
  </si>
  <si>
    <t>ilość podpór</t>
  </si>
  <si>
    <t>sztuk</t>
  </si>
  <si>
    <t>KORPUSY PODPÓR</t>
  </si>
  <si>
    <t>M 23.05.00</t>
  </si>
  <si>
    <t>USTROJE STALOWE</t>
  </si>
  <si>
    <t>M 23.05.01</t>
  </si>
  <si>
    <t>USTRÓJ NOŚNY STALOWY DO ZESPOLENIA Z BETONOWĄ PŁYTĄ POMOSTU</t>
  </si>
  <si>
    <t>t</t>
  </si>
  <si>
    <t>87</t>
  </si>
  <si>
    <t>Zabezpieczenie antykorozyjne konstrukcji stalowej poprzez malowanie farbami na bazie żywic EP i PUR</t>
  </si>
  <si>
    <t>31</t>
  </si>
  <si>
    <t>stal konstrukcyjna</t>
  </si>
  <si>
    <t>sworznie</t>
  </si>
  <si>
    <t>istniejąca stal</t>
  </si>
  <si>
    <t>projektowana stal</t>
  </si>
  <si>
    <t>spoiny</t>
  </si>
  <si>
    <t>72</t>
  </si>
  <si>
    <t>M 23.10.00</t>
  </si>
  <si>
    <t>PŁYTY POMOSTU ZESPOLONE Z KONSTRUKCJĄ STALOWĄ</t>
  </si>
  <si>
    <t>M 23.10.01</t>
  </si>
  <si>
    <t>ŻELBETOWA PŁYTA POMOSTU ZESPOLONA Z KONSTRUKCJĄ STALOWĄ USTROJU NOŚNEGO</t>
  </si>
  <si>
    <t>Wykonanie zbrojenia płyty zespolonej ze stali klasy A-IIIN</t>
  </si>
  <si>
    <t>Wykonanie płyty pomostu konstrukcji zespolonej z betonu klasy C30/37 (B35)  - nad wodą z wykonaniem rusztowań i deskowań</t>
  </si>
  <si>
    <t>PRZEKRYCIE DYLATACYJNE - "UCIĄGLENIE NAWIERZCHNI" PRZEZ WYPEŁNIENIE SZCZELINY MASĄ TRWALEPLASTYCZNĄ</t>
  </si>
  <si>
    <t>Wykonanie przekrycia dylatacyjnego "uciąglenie nawierzchni" poprzez wypełnienie szczeliny masą trwaleplastyczną</t>
  </si>
  <si>
    <t>Wykonanie chodników z kostki brukowej betonowej wibroprasowanej grubości 6cm na podsypce cementowo - piaskowej 1:4 gr. 5 cm, w-wie podbudowy z chudego betonu gr. 10 cm i w-wie odcinającej z piasku grubego gr. 10 cm</t>
  </si>
  <si>
    <t>szerokosć jezdni</t>
  </si>
  <si>
    <t>Odległości</t>
  </si>
  <si>
    <t>Pow. oczyszczenia niebitumiczne</t>
  </si>
  <si>
    <t>Pow. oczyszczenia bitumiczne - wiążąca</t>
  </si>
  <si>
    <t>w-wa wiążąca gr. 7 cm</t>
  </si>
  <si>
    <t>w-wa ścieralna gr. 4 cm</t>
  </si>
  <si>
    <t>szerokość ścieralnej</t>
  </si>
  <si>
    <t>szerokość wiążącej</t>
  </si>
  <si>
    <t>Oczyszczenie warstwy ochronnej na moście, warstwy wiążącej i odcinków frezowanych na drodze. Powierzchnia wg tab. 3</t>
  </si>
  <si>
    <t>oczyszczenie warstw niebitumicznych</t>
  </si>
  <si>
    <t>skropienie warstw niebitumicznych</t>
  </si>
  <si>
    <t>24</t>
  </si>
  <si>
    <t>17</t>
  </si>
  <si>
    <t>Powierzchnia nasypu</t>
  </si>
  <si>
    <t>Powierzchnia wykopu</t>
  </si>
  <si>
    <t>Objętość nasypu</t>
  </si>
  <si>
    <t>Objętość wykopu</t>
  </si>
  <si>
    <t>obwód IP 260</t>
  </si>
  <si>
    <t>duże żebro</t>
  </si>
  <si>
    <t>małe żebro</t>
  </si>
  <si>
    <t>obwód</t>
  </si>
  <si>
    <t>Wytworzenie konstrukcji stalowej ze stali Rr&lt;400 MPa - istniejące dźwigary</t>
  </si>
  <si>
    <t>Krawężniki na długości płyty pomostu. Krawężniki kotwione. Do wyceny ująć ciężar kotew - po 2 szt. na 1 mb krawężnika</t>
  </si>
  <si>
    <t>zjazd</t>
  </si>
  <si>
    <t>Remont mostu do szkoły łączącego drogi na dz. Nr 1518 i Nr 2490/1 w miejscowości Jaśliska</t>
  </si>
  <si>
    <t>Data opracowania: marzec 2014</t>
  </si>
  <si>
    <t>TABELA NR 1. ROZBIÓRKA ISTNIEJĄCEGO MOSTU</t>
  </si>
  <si>
    <t>plyta pomostu</t>
  </si>
  <si>
    <t>poprzecznice</t>
  </si>
  <si>
    <t>korpus 1</t>
  </si>
  <si>
    <t>skrzydełko - cz. 1</t>
  </si>
  <si>
    <t>skrzydełko - cz. 2</t>
  </si>
  <si>
    <t>RAZEM ROZBIÓRKA MOSTU x 15%:</t>
  </si>
  <si>
    <t xml:space="preserve">REMONT MOSTU </t>
  </si>
  <si>
    <t>długość koszy podstawa</t>
  </si>
  <si>
    <t>przekrój kosza</t>
  </si>
  <si>
    <t xml:space="preserve">l. rzędów koszy podst. </t>
  </si>
  <si>
    <t>długość koszy górnych 1</t>
  </si>
  <si>
    <t>długość koszy górnych 2</t>
  </si>
  <si>
    <t>długość koszy górnych 3</t>
  </si>
  <si>
    <t>długość koszy górnych 4</t>
  </si>
  <si>
    <t>Wykonanie koszy siatkowo - kamiennych o wymiarach 100x50. Wymiar podłużny kosza dostosować do geometrii murów oporowych przy korpusie przyczółka</t>
  </si>
  <si>
    <t>Wykonanie koszy siatkowo - kamiennych o wymiarach 100x100. Kosze stanowiące podstawę umocnień brzegów rzeki</t>
  </si>
  <si>
    <t>Profilowanie i oczyszczenie dna rzeki</t>
  </si>
  <si>
    <t>Profilowanie i oczyszczenie dna rzeki. Wykopy pod umocnienie skarp koszami siatkowo - kamiennymi</t>
  </si>
  <si>
    <t>Barieroporecze bezprzekładkowe o rozstawie słupków 1,00m. Typ wg rys. ogólnego, przekroju poprzecznego i zbrojenia kapy chodnikowej. Bariery z 4 łącznikami prowadnicy (elementy końcowe) taśmy bariery i 4 zakończeniami pochwytu balustrady. Koszt z kompletem kotew do mocowania barieroporęczy. Montaż dodatkowych taśm napinających barierę (poziomych) - dostosowanie do ruchu pieszego</t>
  </si>
  <si>
    <t>ilość 1,00 m</t>
  </si>
  <si>
    <t>Montaż stalowych bariero-poręczy o rozstawie słupków 1m</t>
  </si>
  <si>
    <t>pozioma płyty</t>
  </si>
  <si>
    <t>Montaż saczków odwodnienia izolacji - sączki z HDPE śr. 48mm</t>
  </si>
  <si>
    <t>ilość drenów</t>
  </si>
  <si>
    <t>Dreny podlużne przy kraweżniku z odprowadzeniem do sączków</t>
  </si>
  <si>
    <t>długość deski</t>
  </si>
  <si>
    <t>objętość kapy</t>
  </si>
  <si>
    <t>Betonowanie chodników na długości mostu. Obmiar wg rys. technicznych zbrojenia kap chodnika i opaski - rys. 8.2</t>
  </si>
  <si>
    <t>Osadzenie kotew bariero-poręczy o rozstawie słupków 1m. Obmiar wg rys. 8.2</t>
  </si>
  <si>
    <t>Zakup, transport i montaż zbrojenia chodników, ilość wg rys. konstrukcyjnego. Obmiar wg rys. 8.2</t>
  </si>
  <si>
    <t>Obmiar wg rys. nr 7.2. W zestawieniu stali ujęto wykonanie i wbudowanie drobnych konstrukcji stalowych jak np. kotwy stalowe, marki</t>
  </si>
  <si>
    <t xml:space="preserve">Obmiar wg rys. nr 7.2. </t>
  </si>
  <si>
    <t>Wywiercenie otworów i osadzenie kotew stalowych o średnicy 20 mm na kleju na bazie żywic epoksydowych</t>
  </si>
  <si>
    <t>Wytworzenie konstrukcji stalowej rusztu z istniejących dźwigarów. Adaptacja istniejących dźwigarów zgodnie z uwagami przedstawionymi na rysunku (m.in. dostosowanie konstrukcji do projektowanych rozwiązań, szlifowanie po połączeniach). Obmiar wg rys. konstrukcyjnego rusztu stalowego. Transport z miejsca budowy do wytwórni konstrukcji stalowych i na miejsce wbudowania.</t>
  </si>
  <si>
    <t>Wytworzenie konstrukcji stalowej ze stali Rr&lt;400 Mpa - projektowana konstrukcja stalowa wraz ze sworzniami</t>
  </si>
  <si>
    <t>obwód IP 450</t>
  </si>
  <si>
    <t>nakładka</t>
  </si>
  <si>
    <t>szerokość 1</t>
  </si>
  <si>
    <t>szerokość 2</t>
  </si>
  <si>
    <t>ilość 1</t>
  </si>
  <si>
    <t>ilość 2</t>
  </si>
  <si>
    <t>Zakup, transport i montaż barier typu SP-04 wraz z elementami odblaskowymi co 4m z dowiązaniem do baieroporęczy na moście i z zakończeniem łącznikiem czołowym pojedyńczym. UWAGA! Taśma barier wyłukowana zgodnie z rusynkiem ogólnym</t>
  </si>
  <si>
    <t>TABELA NR 2. ROBOTY BITUMICZNE</t>
  </si>
  <si>
    <t>szerokość podbudowy 0/31,5
gr. 20 cm</t>
  </si>
  <si>
    <t>zasadnicza</t>
  </si>
  <si>
    <t>rozjazd</t>
  </si>
  <si>
    <t>całkowita</t>
  </si>
  <si>
    <t>powierzchnia podbudowy 0/31,5</t>
  </si>
  <si>
    <t>Skropienie wastwy ochronnej na moście, warstwy wiążącej i odcinków dowiązania na drodze: wg tab. 2</t>
  </si>
  <si>
    <t>D 03.00.00</t>
  </si>
  <si>
    <t>ODWODNIENIE KORPUSU DROGOWEGO</t>
  </si>
  <si>
    <t>D 03.02.01</t>
  </si>
  <si>
    <t>Kanalizacja deszczowa</t>
  </si>
  <si>
    <t>23</t>
  </si>
  <si>
    <t xml:space="preserve">Wykonanie przykanalików z rur HDPE o średnicy 20 cm - odprowadzenie wód opadowych ze studzienki wpadowej do istniejącego rowu wraz z wykonaniem wylotu z kamienia na zaprawie cementowej. W zakresie ująć roboty ziemne związane z wykonaniem przekopu przez istniejącą drogę </t>
  </si>
  <si>
    <t>Wykonanie przykanalików z rur HDPE o średnicy 20 cm wraz z robotami ziemnymi i umocnieniem wylotu</t>
  </si>
  <si>
    <t>41</t>
  </si>
  <si>
    <t>kpl</t>
  </si>
  <si>
    <t>Studzienki HDPE o średnicy 60cm z kielichem i kratką ściekową. W cenę wliczyć wszystkie koszty związane z wykonaniem wykopów, montażem studzienki, zasypaniem wykopów, regulacją, podłączeniem przykanalika.</t>
  </si>
  <si>
    <t>D 08.05.01</t>
  </si>
  <si>
    <t>Ścieki z prefabrykowanych elementów betonowych 60x50x15</t>
  </si>
  <si>
    <t>Ścieki z prefabrykowanych elementów betonowych 60x50x16 na podsypce cementowo - piaskowej 1:4 o gr. 10 cm</t>
  </si>
  <si>
    <t>D 10.00.00</t>
  </si>
  <si>
    <t>INNE ROBOTY</t>
  </si>
  <si>
    <t>D 10.07.01</t>
  </si>
  <si>
    <t>Zjazdy do gospodarstw i na drogi boczne</t>
  </si>
  <si>
    <t>21</t>
  </si>
  <si>
    <t>Wykonanie zjazdów na drogi boczne z nawierzchnią utwardzoną z kruszywa łamanego 0/31,5. Obmiar wg tab. 2</t>
  </si>
  <si>
    <t>Wykonanie zjazdów na drogi boczne z nawierzchnią utwardzoną z kruszywa łamanego 0/31,5 o grubości 20 cm</t>
  </si>
  <si>
    <t>D 07.06.02</t>
  </si>
  <si>
    <t>Urządzenia zabezpieczające ruch pieszych</t>
  </si>
  <si>
    <t>Ustawienie ogrodzeń ochronnych typu U-12a typu rurowo - prętowego wraz z montażem przez kotwienie bezpośrednio w podłożu (wkopanie i zabetonowanie). Obmiar wg rys. 3.2</t>
  </si>
  <si>
    <t>szerokosć nawierzchni</t>
  </si>
  <si>
    <t>długość rozbiórki</t>
  </si>
  <si>
    <t>Mechaniczne rozebranie nawierzchni z mieszanek mineralno - bitumicznych o średniej grubości 8 cm w zakresie dojazdów na długości skarp roboczych przy wykonaniu przyczólków. Odwóz materiału na składowisko Wykonawcy wraz z utylizacją odpadów.</t>
  </si>
  <si>
    <t>M 29.01.01</t>
  </si>
  <si>
    <t>ODWODNIENIE ZASYPKI PRZYCZÓŁKA</t>
  </si>
  <si>
    <t>13</t>
  </si>
  <si>
    <t xml:space="preserve">Wykonanie odwodnienia zasypki przyczółka z użyciem folii kubełkowej </t>
  </si>
  <si>
    <t>ilosć</t>
  </si>
  <si>
    <t>długość rury</t>
  </si>
  <si>
    <t>M 29.03.01</t>
  </si>
  <si>
    <t>Wykonanie zasypki przyczółka - zasypanie przestrzeni za ścianami przyczółka gruntem niespoistym</t>
  </si>
  <si>
    <t>szerokosć przyczółka</t>
  </si>
  <si>
    <t>podstawa dolna</t>
  </si>
  <si>
    <t>podstawa górna</t>
  </si>
  <si>
    <t>Ustawienie jako obramowanie chodników obrzeży betonowych w wymiarach 8x30cm na podsypce cementowo - piaskowej 1:4 gr. 3cm oraz ławie oporowej z betonu C12/15 (B15) z wypełnieniem spoin zaprawą cementową z docięciem na wymiar.</t>
  </si>
  <si>
    <t>Ustawienie obrzeży betonowych w wymiarach 8x30cm na podsypce cementowo - piaskowej 1:4 gr. 3cm oraz ławie oporowej z betonu C12/15</t>
  </si>
  <si>
    <t>Obramowanie od strony jezdni na długości adaptacji dojazdów. Krawężniki układane na łuku poziomym.</t>
  </si>
  <si>
    <t>M 22.51.20</t>
  </si>
  <si>
    <t>LOKALNE NAPRAWY POWIERZCHNI BETONOWYCH PODPÓR ZAPRAWAMI TYPU PCC NAKŁADANYMI RĘCZNIE</t>
  </si>
  <si>
    <t>05</t>
  </si>
  <si>
    <t>Wykonanie naprawy pionowych powierzchni podpór zaprawami typu PCC nakładanymi ręcznie na głębokość powyżej 1 cm - nad lądem i wodą</t>
  </si>
  <si>
    <t>Wykonanie i demontaż rusztowań na lądzie i nad wodą</t>
  </si>
  <si>
    <t>szerokość ławy</t>
  </si>
  <si>
    <t>wysokośc ławy</t>
  </si>
  <si>
    <t>długośćboczna ławy</t>
  </si>
  <si>
    <t>szerokość wspornika 1</t>
  </si>
  <si>
    <t>szerokość wspornika 2</t>
  </si>
  <si>
    <t>szerokość wspornika 3</t>
  </si>
  <si>
    <t>wysokość przyczółka</t>
  </si>
  <si>
    <t>szerokość przyczółak</t>
  </si>
  <si>
    <t>bok przyczółka</t>
  </si>
  <si>
    <t>ława fundamentowa</t>
  </si>
  <si>
    <t>Wykonanie wzmocnienia podpory z betonu C30/37 (B35) - nad wodą. W pozycji tej ująć koszt wykonania rusztowań nad wodą. Obmiar wg rys. 5.2.</t>
  </si>
  <si>
    <t>Wykonanie zbrojenia wzmocnienia przyczółka. Obmiar wg rys. 5.2</t>
  </si>
  <si>
    <t>M 24.00.00</t>
  </si>
  <si>
    <t>ŁOŻYSKA</t>
  </si>
  <si>
    <t>M 24.03.01</t>
  </si>
  <si>
    <t>ŁOŻYSKA STALOWE LINIOWE</t>
  </si>
  <si>
    <t xml:space="preserve">Montaż łozysk stalowych z szyn kolejowych typu S49 wg rys. 5.2. Długość szyny 4,00 m. </t>
  </si>
  <si>
    <t>ilość szyn</t>
  </si>
  <si>
    <t xml:space="preserve">Wytworzenie łożysk stalowych z szyn kolejowych typu S49 </t>
  </si>
  <si>
    <t xml:space="preserve">Montaż łożysk stalowych z szyn kolejowych typu S49 </t>
  </si>
  <si>
    <t>ciężar szyny</t>
  </si>
  <si>
    <t>Montaż konstrukcji blachownicowej ze stali Rr&lt;400 MPa i rozp. przęsła do 20m - nad wodą wraz z wykonaniem tymczasowej podpory o osi rozpiętości przęsła (podniesienie wykonawcze)</t>
  </si>
  <si>
    <t>Wytworzenie konstrukcji stalowej wzmocnienia dźwigarów. Adaptacja istniejących dźwigarów zgodnie z uwagami przedstawionymi na rysunku. Obmiar wg rys. konstrukcyjnego rusztu stalowego.</t>
  </si>
  <si>
    <t>Wykonanie zbrojenia kap za stali klasy A-III wraz z kotwieniem do płyty pomostu</t>
  </si>
  <si>
    <t>szerokość koryta</t>
  </si>
  <si>
    <t>powierzchnia koryta</t>
  </si>
  <si>
    <t xml:space="preserve">Dźwigary główne - IP 450. Poprzecznice - IP 260. Obmiar wg rys. konstrukcyjnego rusztu stalowego. </t>
  </si>
  <si>
    <t>Wytworzenie łożysk stalowych z szyn kolejowych typu S49 wg rys. 5.2. Długość szyny 4,00 m. Ciężar stali (kotew) ujęto w zbrojeniu korpusu przyczółka</t>
  </si>
  <si>
    <t xml:space="preserve">Wykonanie odwodnienia zasypki przyczółka rurą perforowaną fi 125 mm (2/3 drenażowe, 1/3 pełna) ułożonej na ławie betonowej - szczegół wg rys. 3.1. Rura w drenie z kruszywa 8/16 w osłonie z geowłólniny </t>
  </si>
  <si>
    <t>Wykonanie odwodnienia zasypki przyczółka rurą perforowaną fi 125 mm otoczonej kruszywem łamanym 8/16 w osłonie geowłókniny</t>
  </si>
  <si>
    <t>Kotwy średnicy 20mm długości osadzenia 30cm; otwór srednicy 28mm długości 320mm. Pozycja wiercenia:pionowa</t>
  </si>
  <si>
    <t>TABELA NR 3. ROBOTY ZIEMNE I ROZBIÓRKOWE</t>
  </si>
  <si>
    <t>wykopy na odkład</t>
  </si>
  <si>
    <t>wykopy poprzeczne</t>
  </si>
  <si>
    <t xml:space="preserve">WYKONANIE ZASYPKI PRZYCZÓŁKA </t>
  </si>
  <si>
    <t xml:space="preserve">Rozebranie podbudowy z kruszywa o grubości do 40 cm w zakresie dojazdów na długości skarp roboczych (wykopu) przy wzmacnianiu przyczólków, z odwozem materiału na składowisko Wykonawcy wraz z utylizacją odpadów. Zakres rozbiórki wg profilu podłużnego dojazdów. </t>
  </si>
  <si>
    <t>50x5x0,5</t>
  </si>
  <si>
    <r>
      <t xml:space="preserve">Przygotowanie powierzchni konstrukcji stalowej do stopnia czystości PSa 2. Zabezpieczenie antykorozyjne dźwiarów przęsła stalowego wraz ze stężeniami poprzecznymi zestawem powłok malarskich mających aprobatę IBDiM:
- grunt wysokocynkowy o grubości suchej warstwy min. 80 </t>
    </r>
    <r>
      <rPr>
        <sz val="10"/>
        <rFont val="Symbol"/>
        <family val="1"/>
      </rPr>
      <t></t>
    </r>
    <r>
      <rPr>
        <sz val="10"/>
        <rFont val="Arial"/>
        <family val="2"/>
      </rPr>
      <t xml:space="preserve">m,
- międzywarstwa epoksydowo – poliuretanowa o gr. suchej warstwy min. 2 x 75 </t>
    </r>
    <r>
      <rPr>
        <sz val="10"/>
        <rFont val="Symbol"/>
        <family val="1"/>
      </rPr>
      <t></t>
    </r>
    <r>
      <rPr>
        <sz val="10"/>
        <rFont val="Arial"/>
        <family val="2"/>
      </rPr>
      <t xml:space="preserve">m,
- warstwa nawierzchniowa poliuretanowa o gr. suchej warstwy min. 180-200 </t>
    </r>
    <r>
      <rPr>
        <sz val="10"/>
        <rFont val="Symbol"/>
        <family val="1"/>
      </rPr>
      <t></t>
    </r>
    <r>
      <rPr>
        <sz val="10"/>
        <rFont val="Arial"/>
        <family val="2"/>
      </rPr>
      <t>m.</t>
    </r>
  </si>
  <si>
    <r>
      <t>Montaż prefabrykowanych desek gzymsowych z betonu poliuretanowego o kubaturze do 0,1m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/szt</t>
    </r>
  </si>
  <si>
    <r>
      <t>m</t>
    </r>
    <r>
      <rPr>
        <b/>
        <vertAlign val="superscript"/>
        <sz val="8"/>
        <rFont val="Arial"/>
        <family val="2"/>
      </rPr>
      <t>2</t>
    </r>
  </si>
  <si>
    <t>Rozebranie podbudowy z kruszywa o średniej grubości do 40 cm</t>
  </si>
  <si>
    <t>Rozebranie nawierzchni z mieszanek mineralno - bitumicznych o średniej grubości 8 cm</t>
  </si>
  <si>
    <t>Wykonanie podbudowy z tłucznia kamiennego 0/31,5, gr. w-wy 20cm</t>
  </si>
  <si>
    <t>Wykonanie podbudowy z tłucznia kamiennego 0/31,5, gr. w-wy 20cm. Obmiar wg tab. 2</t>
  </si>
  <si>
    <t>Ustawienie barier ochronnych stalowych jednostronnych - przekładkowych typu SP-04</t>
  </si>
  <si>
    <t>Wykonanie chodników z kostki brukowej betonowej grubości 6cm prostokątnej</t>
  </si>
  <si>
    <t>Ścieki z prefabrykowanych elementów betonowych 60x50x15 cm</t>
  </si>
  <si>
    <t>Zakup, transport  i montaż zbrojenia ze stali kl. A-III</t>
  </si>
  <si>
    <t>Koszt prefabrykowanych desek gzymsowych z betonu poliuretanowego 4x50x100 cm</t>
  </si>
  <si>
    <t>Powierzchnia boczna przyczołka wraz z powierzchnią boczną ulegającą zakryciu</t>
  </si>
  <si>
    <t>Papa na płycie pomostu, płaszyznach pionowych i poziomych zejść z płyty. Powierzchnia netto (bez zakładów). W cenie ostatecznej ująć powierzchnię na zakłady izolacji</t>
  </si>
  <si>
    <t>Wykonanie koszy siatkowo - kamiennych 100x50 cm</t>
  </si>
  <si>
    <t>Wykonanie koszy siatkowo - kamiennych 100x100 cm</t>
  </si>
  <si>
    <t>Rozbiórka rusztu stalowego konstrukcji nośnej mostu. Dźwigary stalowe typu IP 450 wraz z poprzecznicami. Obmiar wg rys. inwentaryzacji. Długość dźwigara ok Lc=11,65m. Materiał z rozbiórki do ponownego wbudowania. Demontaż konstrukcji z transportem do wytwórni konstrukcji stalowych w celu wykonania remontu i adaptacji do projektowanych rozwiązań.</t>
  </si>
  <si>
    <t>Rozbiórka rusztu stalowego konstrukcji nośnej mostu (dźwigary nośne wraz z poprzecznicami) - materiał do ponownego wykorzystania</t>
  </si>
  <si>
    <t>Wykopy - część rzeczna, na przerzut z ponownym uformowaniem skarp rzeki. Grunt do ponownego wykorzystania w ilości zgodnej z tab. Nr 3. Grunt do ponownego wbudowania na miejscu budowy w skarpy rzeki - wbudowanie, plantowanie, obsianie trawą</t>
  </si>
  <si>
    <t>Wykonanie wykopów w gruntach kategorii I-V z transportem urobku na odkład/nasyp na miejsce składowe Wykonawcy</t>
  </si>
  <si>
    <t>Roboty ziemne poprzeczne (bez transportu) wykonywane mechanicznie w gr. kat. I-V - wbudowanie w skarpy rzeki</t>
  </si>
  <si>
    <t>Wykopy - część rzeczna, na odkład, Wykopy związane z wykonaniem umocnień przy przyczółkach (naddatek z robót ziemnych)</t>
  </si>
  <si>
    <t>Wykonanie (odbudowa) kompletnych studzienek ściekowych wraz z podłączeniem do nich kratek ściekowych (z kielichem i kratką ściekową)</t>
  </si>
  <si>
    <t>Wykonanie wzmocnienia podpory z betonu C30/37 (B35) - nad wodą wraz z deskowaniem i pielęgnacją</t>
  </si>
  <si>
    <t>Wykonanie nawierzchni z betonu asfaltowego o uziarnieniu 0/16 warstwa wiążąca, wzmacniająca gr. w-wy 4 cm</t>
  </si>
  <si>
    <t>Wykonanie nawierzchni z betonu asfaltowego o uziarnieniu 0/16 warstwa wiążąca, wzmacniająca gr. w-wy 4 cm. Obmiar wg tab. 2</t>
  </si>
  <si>
    <t>pow. 7 cm</t>
  </si>
  <si>
    <t>pow. 4 cm</t>
  </si>
  <si>
    <t>w-wa wiążąca</t>
  </si>
  <si>
    <t>w-wa wiążąca gr. 4 cm</t>
  </si>
  <si>
    <t>Wykonanie nawierzchni z betonu asfaltowego o uziarnieniu 0/16 warstwa wiążąca, wzmacniająca gr. w-wy 7 cm. Obmiar wg tab. 2</t>
  </si>
  <si>
    <t>26</t>
  </si>
  <si>
    <t>Wykonanie nawierzchni z betonu asfaltowego o uziarnieniu 0/12,8 warstwa ścieralna na moście i dojazdach gr. w-wy 4 cm</t>
  </si>
  <si>
    <t>Wykonanie nawierzchni z betonu asfaltowego o uziarnieniu 0/12,8 warstwa ścieralna na moście i na dojazdach, gr. w-wy 4 cm. Obmiar wg tab. 2</t>
  </si>
  <si>
    <t>Wykonanie nawierzchni z betonu asfaltowego o uziarnieniu 0/16 warstwa wiążąca, wzmacniająca gr. w-wy 7 cm</t>
  </si>
  <si>
    <t>Rozebranie częściowe korpusów, skrzydełek i adaptacja ław fundamentowych. Obmiar wg tab. 1. Założyć cięcie podłuzne podpór - ławy fundamentowej (bruzdowanie od czoła).</t>
  </si>
  <si>
    <t xml:space="preserve">Ustawienie ogrodzeń ochronnych typu U-12a typu rurowo - prętowego wraz z zamocowaniem w podłożu w fundamencie betonowym. </t>
  </si>
  <si>
    <t>WZMOCNIENIE PODPORY PRZEZ ZWIĘKSZENIE JEJ WYMIARÓW</t>
  </si>
  <si>
    <t>Wykonanie naprawy pionowych powierzchni podpór zaprawami typu PCC nakładanymi ręcznie na głębokość powyżej 1 cm - nad lądem i wodą. Przyjęto średnią grubość warstwy PCC 7 cm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</si>
</sst>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00"/>
    <numFmt numFmtId="167" formatCode="0.000"/>
    <numFmt numFmtId="168" formatCode="0.000000"/>
    <numFmt numFmtId="169" formatCode="0.0000000"/>
    <numFmt numFmtId="170" formatCode="0.00000000"/>
    <numFmt numFmtId="171" formatCode="0.000000000"/>
    <numFmt numFmtId="172" formatCode="#,##0.0000"/>
    <numFmt numFmtId="173" formatCode="#\.#\.#"/>
    <numFmt numFmtId="174" formatCode="0\+000.0"/>
    <numFmt numFmtId="175" formatCode="#,##0&quot; m²&quot;"/>
    <numFmt numFmtId="176" formatCode="0.00&quot; m&quot;"/>
    <numFmt numFmtId="177" formatCode="#,##0.00&quot; m³&quot;"/>
    <numFmt numFmtId="178" formatCode="00\+000.0"/>
    <numFmt numFmtId="179" formatCode="000\+000.0"/>
    <numFmt numFmtId="180" formatCode="0000\+000.0"/>
    <numFmt numFmtId="181" formatCode="00000\+000.0"/>
    <numFmt numFmtId="182" formatCode="#\.#\."/>
    <numFmt numFmtId="183" formatCode="0.0000000000"/>
    <numFmt numFmtId="184" formatCode="0.0000000000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25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sz val="10"/>
      <name val="Arial Narrow"/>
      <family val="2"/>
    </font>
    <font>
      <sz val="10"/>
      <name val="Symbol"/>
      <family val="1"/>
    </font>
    <font>
      <b/>
      <vertAlign val="superscript"/>
      <sz val="8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49" fontId="4" fillId="0" borderId="0" xfId="0" applyNumberFormat="1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/>
      <protection locked="0"/>
    </xf>
    <xf numFmtId="4" fontId="4" fillId="0" borderId="0" xfId="0" applyNumberFormat="1" applyFont="1" applyFill="1" applyAlignment="1" applyProtection="1">
      <alignment horizontal="center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4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4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4" fontId="4" fillId="0" borderId="0" xfId="0" applyNumberFormat="1" applyFont="1" applyFill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Fill="1" applyAlignment="1" applyProtection="1">
      <alignment wrapText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Alignment="1" applyProtection="1">
      <alignment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 applyProtection="1">
      <alignment horizontal="left"/>
      <protection locked="0"/>
    </xf>
    <xf numFmtId="4" fontId="9" fillId="33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 applyProtection="1">
      <alignment horizontal="left" vertical="center" wrapText="1"/>
      <protection locked="0"/>
    </xf>
    <xf numFmtId="4" fontId="4" fillId="0" borderId="0" xfId="0" applyNumberFormat="1" applyFont="1" applyFill="1" applyAlignment="1" applyProtection="1">
      <alignment horizontal="left" wrapText="1"/>
      <protection locked="0"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/>
    </xf>
    <xf numFmtId="174" fontId="57" fillId="0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4" fontId="15" fillId="0" borderId="0" xfId="0" applyNumberFormat="1" applyFont="1" applyAlignment="1">
      <alignment horizontal="center" vertical="center"/>
    </xf>
    <xf numFmtId="0" fontId="4" fillId="0" borderId="0" xfId="0" applyFont="1" applyFill="1" applyAlignment="1" applyProtection="1">
      <alignment horizontal="center" wrapText="1"/>
      <protection locked="0"/>
    </xf>
    <xf numFmtId="4" fontId="16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right" wrapText="1"/>
      <protection locked="0"/>
    </xf>
    <xf numFmtId="2" fontId="4" fillId="0" borderId="0" xfId="0" applyNumberFormat="1" applyFont="1" applyFill="1" applyAlignment="1" applyProtection="1">
      <alignment horizontal="right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right" wrapText="1"/>
      <protection locked="0"/>
    </xf>
    <xf numFmtId="4" fontId="4" fillId="0" borderId="0" xfId="0" applyNumberFormat="1" applyFont="1" applyFill="1" applyAlignment="1" applyProtection="1">
      <alignment horizontal="right" wrapText="1"/>
      <protection locked="0"/>
    </xf>
    <xf numFmtId="4" fontId="15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0" fontId="4" fillId="34" borderId="10" xfId="0" applyFont="1" applyFill="1" applyBorder="1" applyAlignment="1" applyProtection="1">
      <alignment horizontal="right" vertical="center" wrapText="1"/>
      <protection locked="0"/>
    </xf>
    <xf numFmtId="0" fontId="9" fillId="35" borderId="10" xfId="0" applyFont="1" applyFill="1" applyBorder="1" applyAlignment="1" applyProtection="1">
      <alignment horizontal="right" vertical="center" wrapText="1"/>
      <protection locked="0"/>
    </xf>
    <xf numFmtId="0" fontId="9" fillId="35" borderId="10" xfId="0" applyFont="1" applyFill="1" applyBorder="1" applyAlignment="1">
      <alignment horizontal="right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7" borderId="1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7" fillId="38" borderId="10" xfId="0" applyFont="1" applyFill="1" applyBorder="1" applyAlignment="1" applyProtection="1">
      <alignment horizontal="center" vertical="center" wrapText="1"/>
      <protection locked="0"/>
    </xf>
    <xf numFmtId="0" fontId="4" fillId="3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3:I41"/>
  <sheetViews>
    <sheetView view="pageBreakPreview" zoomScale="115" zoomScaleSheetLayoutView="115" zoomScalePageLayoutView="0" workbookViewId="0" topLeftCell="A21">
      <selection activeCell="C18" sqref="C18"/>
    </sheetView>
  </sheetViews>
  <sheetFormatPr defaultColWidth="9.00390625" defaultRowHeight="12.75"/>
  <cols>
    <col min="1" max="2" width="9.125" style="1" customWidth="1"/>
    <col min="3" max="3" width="13.25390625" style="1" bestFit="1" customWidth="1"/>
    <col min="4" max="16384" width="9.125" style="1" customWidth="1"/>
  </cols>
  <sheetData>
    <row r="3" ht="12.75">
      <c r="A3" s="2"/>
    </row>
    <row r="8" ht="8.25" customHeight="1"/>
    <row r="9" spans="1:9" ht="33" customHeight="1">
      <c r="A9" s="127" t="s">
        <v>189</v>
      </c>
      <c r="B9" s="127"/>
      <c r="C9" s="127"/>
      <c r="D9" s="127"/>
      <c r="E9" s="127"/>
      <c r="F9" s="127"/>
      <c r="G9" s="127"/>
      <c r="H9" s="127"/>
      <c r="I9" s="127"/>
    </row>
    <row r="12" spans="1:9" ht="41.25" customHeight="1">
      <c r="A12" s="126" t="s">
        <v>252</v>
      </c>
      <c r="B12" s="126"/>
      <c r="C12" s="126"/>
      <c r="D12" s="126"/>
      <c r="E12" s="126"/>
      <c r="F12" s="126"/>
      <c r="G12" s="126"/>
      <c r="H12" s="126"/>
      <c r="I12" s="126"/>
    </row>
    <row r="28" spans="1:6" ht="12.75">
      <c r="A28" s="4" t="s">
        <v>17</v>
      </c>
      <c r="F28" s="4"/>
    </row>
    <row r="31" ht="12.75">
      <c r="A31" s="1" t="s">
        <v>19</v>
      </c>
    </row>
    <row r="32" spans="1:7" ht="12.75">
      <c r="A32" s="2" t="s">
        <v>21</v>
      </c>
      <c r="G32" s="2"/>
    </row>
    <row r="41" ht="12.75">
      <c r="D41" s="1" t="s">
        <v>253</v>
      </c>
    </row>
  </sheetData>
  <sheetProtection/>
  <mergeCells count="2">
    <mergeCell ref="A12:I12"/>
    <mergeCell ref="A9:I9"/>
  </mergeCells>
  <printOptions/>
  <pageMargins left="0.75" right="0.61" top="1" bottom="1" header="0.5" footer="0.5"/>
  <pageSetup orientation="portrait" paperSize="9" r:id="rId1"/>
  <headerFooter alignWithMargins="0">
    <oddFooter>&amp;RStrona&amp;P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70"/>
  <sheetViews>
    <sheetView tabSelected="1" view="pageBreakPreview" zoomScale="130" zoomScaleNormal="160" zoomScaleSheetLayoutView="130" workbookViewId="0" topLeftCell="A1">
      <selection activeCell="B7" sqref="B7:B11"/>
    </sheetView>
  </sheetViews>
  <sheetFormatPr defaultColWidth="12.625" defaultRowHeight="12.75"/>
  <cols>
    <col min="1" max="1" width="9.25390625" style="72" customWidth="1"/>
    <col min="2" max="2" width="16.375" style="72" customWidth="1"/>
    <col min="3" max="3" width="14.375" style="72" customWidth="1"/>
    <col min="4" max="5" width="17.125" style="72" customWidth="1"/>
    <col min="6" max="6" width="13.25390625" style="72" customWidth="1"/>
    <col min="7" max="7" width="15.125" style="72" customWidth="1"/>
    <col min="8" max="8" width="17.75390625" style="72" customWidth="1"/>
    <col min="9" max="16384" width="12.625" style="72" customWidth="1"/>
  </cols>
  <sheetData>
    <row r="1" spans="1:250" s="46" customFormat="1" ht="12.75">
      <c r="A1" s="130" t="s">
        <v>254</v>
      </c>
      <c r="B1" s="130"/>
      <c r="C1" s="130"/>
      <c r="D1" s="130"/>
      <c r="E1" s="130"/>
      <c r="F1" s="130"/>
      <c r="G1" s="130"/>
      <c r="H1" s="130"/>
      <c r="IM1" s="72"/>
      <c r="IN1" s="72"/>
      <c r="IO1" s="72"/>
      <c r="IP1" s="72"/>
    </row>
    <row r="2" spans="1:250" s="46" customFormat="1" ht="25.5">
      <c r="A2" s="47" t="s">
        <v>142</v>
      </c>
      <c r="B2" s="132" t="str">
        <f>OKŁADKA_P!A12</f>
        <v>Remont mostu do szkoły łączącego drogi na dz. Nr 1518 i Nr 2490/1 w miejscowości Jaśliska</v>
      </c>
      <c r="C2" s="132"/>
      <c r="D2" s="132"/>
      <c r="E2" s="132"/>
      <c r="F2" s="132"/>
      <c r="G2" s="132"/>
      <c r="H2" s="132"/>
      <c r="IM2" s="72"/>
      <c r="IN2" s="72"/>
      <c r="IO2" s="72"/>
      <c r="IP2" s="72"/>
    </row>
    <row r="3" spans="1:250" s="46" customFormat="1" ht="12.75">
      <c r="A3" s="63"/>
      <c r="D3" s="49"/>
      <c r="E3" s="49"/>
      <c r="IM3" s="72"/>
      <c r="IN3" s="72"/>
      <c r="IO3" s="72"/>
      <c r="IP3" s="72"/>
    </row>
    <row r="4" spans="1:250" s="54" customFormat="1" ht="38.25">
      <c r="A4" s="136" t="s">
        <v>146</v>
      </c>
      <c r="B4" s="141" t="s">
        <v>147</v>
      </c>
      <c r="C4" s="51" t="s">
        <v>148</v>
      </c>
      <c r="D4" s="52" t="s">
        <v>149</v>
      </c>
      <c r="E4" s="52" t="s">
        <v>150</v>
      </c>
      <c r="F4" s="53" t="s">
        <v>152</v>
      </c>
      <c r="G4" s="86" t="s">
        <v>37</v>
      </c>
      <c r="H4" s="86" t="s">
        <v>151</v>
      </c>
      <c r="IM4" s="72"/>
      <c r="IN4" s="72"/>
      <c r="IO4" s="72"/>
      <c r="IP4" s="72"/>
    </row>
    <row r="5" spans="1:250" s="54" customFormat="1" ht="14.25">
      <c r="A5" s="137"/>
      <c r="B5" s="142"/>
      <c r="C5" s="45" t="s">
        <v>143</v>
      </c>
      <c r="D5" s="45" t="s">
        <v>143</v>
      </c>
      <c r="E5" s="45" t="s">
        <v>143</v>
      </c>
      <c r="F5" s="45" t="s">
        <v>136</v>
      </c>
      <c r="G5" s="45" t="s">
        <v>92</v>
      </c>
      <c r="H5" s="45" t="s">
        <v>136</v>
      </c>
      <c r="IM5" s="72"/>
      <c r="IN5" s="72"/>
      <c r="IO5" s="72"/>
      <c r="IP5" s="72"/>
    </row>
    <row r="6" spans="1:250" s="46" customFormat="1" ht="12.7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M6" s="72"/>
      <c r="IN6" s="72"/>
      <c r="IO6" s="72"/>
      <c r="IP6" s="72"/>
    </row>
    <row r="7" spans="1:250" s="46" customFormat="1" ht="12.75">
      <c r="A7" s="62">
        <v>1</v>
      </c>
      <c r="B7" s="87" t="s">
        <v>255</v>
      </c>
      <c r="C7" s="50">
        <v>11.35</v>
      </c>
      <c r="D7" s="50">
        <v>3.9</v>
      </c>
      <c r="E7" s="50">
        <v>0.13</v>
      </c>
      <c r="F7" s="50">
        <f>C7*D7*E7</f>
        <v>5.75445</v>
      </c>
      <c r="G7" s="88">
        <v>1</v>
      </c>
      <c r="H7" s="50">
        <f>F7*G7</f>
        <v>5.75445</v>
      </c>
      <c r="IM7" s="72"/>
      <c r="IN7" s="72"/>
      <c r="IO7" s="72"/>
      <c r="IP7" s="72"/>
    </row>
    <row r="8" spans="1:250" s="46" customFormat="1" ht="12.75">
      <c r="A8" s="62">
        <v>2</v>
      </c>
      <c r="B8" s="87" t="s">
        <v>256</v>
      </c>
      <c r="C8" s="50">
        <v>3.9</v>
      </c>
      <c r="D8" s="50">
        <v>0.6</v>
      </c>
      <c r="E8" s="50">
        <v>0.45</v>
      </c>
      <c r="F8" s="50">
        <f>C8*D8*E8</f>
        <v>1.053</v>
      </c>
      <c r="G8" s="88">
        <v>2</v>
      </c>
      <c r="H8" s="50">
        <f>F8*G8</f>
        <v>2.106</v>
      </c>
      <c r="IM8" s="72"/>
      <c r="IN8" s="72"/>
      <c r="IO8" s="72"/>
      <c r="IP8" s="72"/>
    </row>
    <row r="9" spans="1:250" s="46" customFormat="1" ht="12.75">
      <c r="A9" s="62">
        <v>3</v>
      </c>
      <c r="B9" s="87" t="s">
        <v>257</v>
      </c>
      <c r="C9" s="50">
        <v>4.8</v>
      </c>
      <c r="D9" s="50">
        <f>(0.7+0.9)/2</f>
        <v>0.8</v>
      </c>
      <c r="E9" s="50">
        <v>1.3</v>
      </c>
      <c r="F9" s="50">
        <f>C9*D9*E9</f>
        <v>4.992</v>
      </c>
      <c r="G9" s="88">
        <v>2</v>
      </c>
      <c r="H9" s="50">
        <f>F9*G9</f>
        <v>9.984</v>
      </c>
      <c r="IM9" s="72"/>
      <c r="IN9" s="72"/>
      <c r="IO9" s="72"/>
      <c r="IP9" s="72"/>
    </row>
    <row r="10" spans="1:250" s="46" customFormat="1" ht="12.75">
      <c r="A10" s="62">
        <v>4</v>
      </c>
      <c r="B10" s="87" t="s">
        <v>258</v>
      </c>
      <c r="C10" s="50">
        <v>3.4</v>
      </c>
      <c r="D10" s="50">
        <v>0.4</v>
      </c>
      <c r="E10" s="50">
        <v>0.7</v>
      </c>
      <c r="F10" s="50">
        <f>C10*D10*E10</f>
        <v>0.952</v>
      </c>
      <c r="G10" s="88">
        <v>3</v>
      </c>
      <c r="H10" s="50">
        <f>F10*G10</f>
        <v>2.856</v>
      </c>
      <c r="IM10" s="72"/>
      <c r="IN10" s="72"/>
      <c r="IO10" s="72"/>
      <c r="IP10" s="72"/>
    </row>
    <row r="11" spans="1:250" s="46" customFormat="1" ht="12.75">
      <c r="A11" s="62">
        <v>5</v>
      </c>
      <c r="B11" s="87" t="s">
        <v>259</v>
      </c>
      <c r="C11" s="50">
        <f>C10</f>
        <v>3.4</v>
      </c>
      <c r="D11" s="50">
        <f>D10</f>
        <v>0.4</v>
      </c>
      <c r="E11" s="50">
        <v>0.7</v>
      </c>
      <c r="F11" s="50">
        <f>0.5*C11*D11*E11</f>
        <v>0.476</v>
      </c>
      <c r="G11" s="88">
        <v>3</v>
      </c>
      <c r="H11" s="50">
        <f>F11*G11</f>
        <v>1.428</v>
      </c>
      <c r="IM11" s="72"/>
      <c r="IN11" s="72"/>
      <c r="IO11" s="72"/>
      <c r="IP11" s="72"/>
    </row>
    <row r="12" spans="1:250" s="46" customFormat="1" ht="12.75">
      <c r="A12" s="138" t="s">
        <v>144</v>
      </c>
      <c r="B12" s="139"/>
      <c r="C12" s="139"/>
      <c r="D12" s="139"/>
      <c r="E12" s="139"/>
      <c r="F12" s="139"/>
      <c r="G12" s="140"/>
      <c r="H12" s="89">
        <f>SUM(H7:H11)</f>
        <v>22.128450000000004</v>
      </c>
      <c r="IM12" s="72"/>
      <c r="IN12" s="72"/>
      <c r="IO12" s="72"/>
      <c r="IP12" s="72"/>
    </row>
    <row r="13" spans="1:250" s="46" customFormat="1" ht="12.75">
      <c r="A13" s="138" t="s">
        <v>260</v>
      </c>
      <c r="B13" s="139"/>
      <c r="C13" s="139"/>
      <c r="D13" s="139"/>
      <c r="E13" s="139"/>
      <c r="F13" s="139"/>
      <c r="G13" s="140"/>
      <c r="H13" s="89">
        <f>ROUND(H12*1.15,1)</f>
        <v>25.4</v>
      </c>
      <c r="IM13" s="72"/>
      <c r="IN13" s="72"/>
      <c r="IO13" s="72"/>
      <c r="IP13" s="72"/>
    </row>
    <row r="14" spans="1:250" s="46" customFormat="1" ht="12.75">
      <c r="A14" s="138" t="s">
        <v>153</v>
      </c>
      <c r="B14" s="139"/>
      <c r="C14" s="139"/>
      <c r="D14" s="139"/>
      <c r="E14" s="139"/>
      <c r="F14" s="139"/>
      <c r="G14" s="140"/>
      <c r="H14" s="89">
        <f>H13</f>
        <v>25.4</v>
      </c>
      <c r="IM14" s="72"/>
      <c r="IN14" s="72"/>
      <c r="IO14" s="72"/>
      <c r="IP14" s="72"/>
    </row>
    <row r="15" spans="1:250" s="46" customFormat="1" ht="12.75">
      <c r="A15" s="63"/>
      <c r="D15" s="49"/>
      <c r="E15" s="49"/>
      <c r="IM15" s="72"/>
      <c r="IN15" s="72"/>
      <c r="IO15" s="72"/>
      <c r="IP15" s="72"/>
    </row>
    <row r="16" spans="1:250" s="46" customFormat="1" ht="12.75">
      <c r="A16" s="63"/>
      <c r="D16" s="49"/>
      <c r="E16" s="49"/>
      <c r="IM16" s="72"/>
      <c r="IN16" s="72"/>
      <c r="IO16" s="72"/>
      <c r="IP16" s="72"/>
    </row>
    <row r="17" spans="1:250" s="46" customFormat="1" ht="12.75">
      <c r="A17" s="130" t="s">
        <v>297</v>
      </c>
      <c r="B17" s="130"/>
      <c r="C17" s="130"/>
      <c r="D17" s="130"/>
      <c r="E17" s="130"/>
      <c r="F17" s="130"/>
      <c r="G17" s="130"/>
      <c r="H17" s="130"/>
      <c r="IM17" s="72"/>
      <c r="IN17" s="72"/>
      <c r="IO17" s="72"/>
      <c r="IP17" s="72"/>
    </row>
    <row r="18" spans="1:8" ht="25.5">
      <c r="A18" s="47" t="s">
        <v>142</v>
      </c>
      <c r="B18" s="132" t="str">
        <f>B2</f>
        <v>Remont mostu do szkoły łączącego drogi na dz. Nr 1518 i Nr 2490/1 w miejscowości Jaśliska</v>
      </c>
      <c r="C18" s="132"/>
      <c r="D18" s="132"/>
      <c r="E18" s="132"/>
      <c r="F18" s="132"/>
      <c r="G18" s="132"/>
      <c r="H18" s="132"/>
    </row>
    <row r="19" spans="1:8" ht="12.75">
      <c r="A19" s="63"/>
      <c r="B19" s="46"/>
      <c r="C19" s="46"/>
      <c r="D19" s="49"/>
      <c r="E19" s="49"/>
      <c r="F19" s="46"/>
      <c r="G19" s="46"/>
      <c r="H19" s="46"/>
    </row>
    <row r="20" spans="1:9" ht="51">
      <c r="A20" s="128" t="s">
        <v>10</v>
      </c>
      <c r="B20" s="73" t="s">
        <v>228</v>
      </c>
      <c r="C20" s="51" t="s">
        <v>229</v>
      </c>
      <c r="D20" s="74" t="s">
        <v>230</v>
      </c>
      <c r="E20" s="74" t="s">
        <v>231</v>
      </c>
      <c r="F20" s="74" t="s">
        <v>373</v>
      </c>
      <c r="G20" s="74" t="s">
        <v>374</v>
      </c>
      <c r="H20" s="74" t="s">
        <v>298</v>
      </c>
      <c r="I20" s="74" t="s">
        <v>302</v>
      </c>
    </row>
    <row r="21" spans="1:9" ht="14.25">
      <c r="A21" s="128"/>
      <c r="B21" s="45" t="s">
        <v>143</v>
      </c>
      <c r="C21" s="45" t="s">
        <v>143</v>
      </c>
      <c r="D21" s="45" t="s">
        <v>135</v>
      </c>
      <c r="E21" s="45" t="s">
        <v>135</v>
      </c>
      <c r="F21" s="45" t="s">
        <v>12</v>
      </c>
      <c r="G21" s="45" t="s">
        <v>135</v>
      </c>
      <c r="H21" s="45" t="s">
        <v>135</v>
      </c>
      <c r="I21" s="45" t="s">
        <v>135</v>
      </c>
    </row>
    <row r="22" spans="1:9" ht="12.75">
      <c r="A22" s="48">
        <v>1</v>
      </c>
      <c r="B22" s="48">
        <v>2</v>
      </c>
      <c r="C22" s="48">
        <v>3</v>
      </c>
      <c r="D22" s="48">
        <v>4</v>
      </c>
      <c r="E22" s="48">
        <v>5</v>
      </c>
      <c r="F22" s="48">
        <v>6</v>
      </c>
      <c r="G22" s="48">
        <v>7</v>
      </c>
      <c r="H22" s="48">
        <v>8</v>
      </c>
      <c r="I22" s="48">
        <v>9</v>
      </c>
    </row>
    <row r="23" spans="1:9" ht="12.75">
      <c r="A23" s="75">
        <v>41.5</v>
      </c>
      <c r="B23" s="78">
        <v>3</v>
      </c>
      <c r="C23" s="50" t="s">
        <v>145</v>
      </c>
      <c r="D23" s="50" t="s">
        <v>145</v>
      </c>
      <c r="E23" s="50" t="s">
        <v>145</v>
      </c>
      <c r="F23" s="50" t="s">
        <v>145</v>
      </c>
      <c r="G23" s="50" t="s">
        <v>145</v>
      </c>
      <c r="H23" s="50" t="s">
        <v>145</v>
      </c>
      <c r="I23" s="50" t="s">
        <v>145</v>
      </c>
    </row>
    <row r="24" spans="1:9" ht="12.75">
      <c r="A24" s="75">
        <f>A23+1.6</f>
        <v>43.1</v>
      </c>
      <c r="B24" s="78">
        <v>3</v>
      </c>
      <c r="C24" s="50">
        <f aca="true" t="shared" si="0" ref="C24:C30">A24-A23</f>
        <v>1.6000000000000014</v>
      </c>
      <c r="D24" s="76">
        <f>I24</f>
        <v>5.4</v>
      </c>
      <c r="E24" s="76">
        <f>ROUND(AVERAGE(B23:B24)*C24,1)</f>
        <v>4.8</v>
      </c>
      <c r="F24" s="50">
        <v>4</v>
      </c>
      <c r="G24" s="76">
        <f>ROUND(AVERAGE(F23:F24)*C24,1)</f>
        <v>6.4</v>
      </c>
      <c r="H24" s="50">
        <v>3.4</v>
      </c>
      <c r="I24" s="76">
        <f>ROUND(AVERAGE(H23:H24)*C24,1)</f>
        <v>5.4</v>
      </c>
    </row>
    <row r="25" spans="1:9" ht="12.75">
      <c r="A25" s="75">
        <f>A24+2.85</f>
        <v>45.95</v>
      </c>
      <c r="B25" s="78">
        <v>3</v>
      </c>
      <c r="C25" s="50">
        <f t="shared" si="0"/>
        <v>2.8500000000000014</v>
      </c>
      <c r="D25" s="76">
        <f aca="true" t="shared" si="1" ref="D25:D30">I25</f>
        <v>9.7</v>
      </c>
      <c r="E25" s="76">
        <f aca="true" t="shared" si="2" ref="E25:E30">ROUND(AVERAGE(B24:B25)*C25,1)</f>
        <v>8.6</v>
      </c>
      <c r="F25" s="50">
        <v>4</v>
      </c>
      <c r="G25" s="76">
        <f aca="true" t="shared" si="3" ref="G25:G30">ROUND(AVERAGE(F24:F25)*C25,1)</f>
        <v>11.4</v>
      </c>
      <c r="H25" s="50">
        <v>3.4</v>
      </c>
      <c r="I25" s="76">
        <f aca="true" t="shared" si="4" ref="I25:I30">ROUND(AVERAGE(H24:H25)*C25,1)</f>
        <v>9.7</v>
      </c>
    </row>
    <row r="26" spans="1:9" ht="12.75">
      <c r="A26" s="75">
        <f>A25+5.55</f>
        <v>51.5</v>
      </c>
      <c r="B26" s="78">
        <v>3</v>
      </c>
      <c r="C26" s="50">
        <f t="shared" si="0"/>
        <v>5.549999999999997</v>
      </c>
      <c r="D26" s="76">
        <f t="shared" si="1"/>
        <v>18.9</v>
      </c>
      <c r="E26" s="76">
        <f t="shared" si="2"/>
        <v>16.7</v>
      </c>
      <c r="F26" s="50">
        <v>4</v>
      </c>
      <c r="G26" s="76">
        <f t="shared" si="3"/>
        <v>22.2</v>
      </c>
      <c r="H26" s="50">
        <v>3.4</v>
      </c>
      <c r="I26" s="76">
        <f t="shared" si="4"/>
        <v>18.9</v>
      </c>
    </row>
    <row r="27" spans="1:9" s="95" customFormat="1" ht="12.75">
      <c r="A27" s="93">
        <f>A26+11.95</f>
        <v>63.45</v>
      </c>
      <c r="B27" s="94">
        <v>3</v>
      </c>
      <c r="C27" s="91">
        <f t="shared" si="0"/>
        <v>11.950000000000003</v>
      </c>
      <c r="D27" s="92"/>
      <c r="E27" s="92">
        <f t="shared" si="2"/>
        <v>35.9</v>
      </c>
      <c r="F27" s="91">
        <v>4</v>
      </c>
      <c r="G27" s="92"/>
      <c r="H27" s="91">
        <v>3.4</v>
      </c>
      <c r="I27" s="92"/>
    </row>
    <row r="28" spans="1:9" ht="12.75">
      <c r="A28" s="75">
        <f>A27+9.7</f>
        <v>73.15</v>
      </c>
      <c r="B28" s="50">
        <v>3</v>
      </c>
      <c r="C28" s="50">
        <f t="shared" si="0"/>
        <v>9.700000000000003</v>
      </c>
      <c r="D28" s="76">
        <f t="shared" si="1"/>
        <v>33</v>
      </c>
      <c r="E28" s="76">
        <f t="shared" si="2"/>
        <v>29.1</v>
      </c>
      <c r="F28" s="50">
        <v>4</v>
      </c>
      <c r="G28" s="76">
        <f>ROUND(AVERAGE(F27:F28)*C28,1)</f>
        <v>38.8</v>
      </c>
      <c r="H28" s="50">
        <v>3.4</v>
      </c>
      <c r="I28" s="76">
        <f t="shared" si="4"/>
        <v>33</v>
      </c>
    </row>
    <row r="29" spans="1:9" ht="12.75">
      <c r="A29" s="75">
        <f>A28+1.3</f>
        <v>74.45</v>
      </c>
      <c r="B29" s="79">
        <v>3</v>
      </c>
      <c r="C29" s="50">
        <f t="shared" si="0"/>
        <v>1.2999999999999972</v>
      </c>
      <c r="D29" s="76">
        <f t="shared" si="1"/>
        <v>4.4</v>
      </c>
      <c r="E29" s="76">
        <f t="shared" si="2"/>
        <v>3.9</v>
      </c>
      <c r="F29" s="50">
        <v>4</v>
      </c>
      <c r="G29" s="76">
        <f t="shared" si="3"/>
        <v>5.2</v>
      </c>
      <c r="H29" s="50">
        <v>3.4</v>
      </c>
      <c r="I29" s="76">
        <f t="shared" si="4"/>
        <v>4.4</v>
      </c>
    </row>
    <row r="30" spans="1:9" ht="12.75">
      <c r="A30" s="75">
        <f>A29+8</f>
        <v>82.45</v>
      </c>
      <c r="B30" s="79">
        <v>3</v>
      </c>
      <c r="C30" s="50">
        <f t="shared" si="0"/>
        <v>8</v>
      </c>
      <c r="D30" s="76">
        <f t="shared" si="1"/>
        <v>27.2</v>
      </c>
      <c r="E30" s="76">
        <f t="shared" si="2"/>
        <v>24</v>
      </c>
      <c r="F30" s="50">
        <v>4</v>
      </c>
      <c r="G30" s="76">
        <f t="shared" si="3"/>
        <v>32</v>
      </c>
      <c r="H30" s="50">
        <v>3.4</v>
      </c>
      <c r="I30" s="76">
        <f t="shared" si="4"/>
        <v>27.2</v>
      </c>
    </row>
    <row r="31" spans="1:9" ht="12.75">
      <c r="A31" s="129" t="s">
        <v>155</v>
      </c>
      <c r="B31" s="129"/>
      <c r="C31" s="129"/>
      <c r="D31" s="77">
        <f>SUM(D23:D30)</f>
        <v>98.60000000000001</v>
      </c>
      <c r="E31" s="77">
        <f>SUM(E23:E30)</f>
        <v>123</v>
      </c>
      <c r="F31" s="77"/>
      <c r="G31" s="77">
        <f>SUM(G24:G30)</f>
        <v>116</v>
      </c>
      <c r="H31" s="77"/>
      <c r="I31" s="77">
        <f>SUM(I24:I30)</f>
        <v>98.60000000000001</v>
      </c>
    </row>
    <row r="32" spans="3:9" ht="38.25">
      <c r="C32" s="85"/>
      <c r="E32" s="128" t="s">
        <v>10</v>
      </c>
      <c r="F32" s="74" t="s">
        <v>235</v>
      </c>
      <c r="G32" s="53" t="s">
        <v>414</v>
      </c>
      <c r="H32" s="74" t="s">
        <v>234</v>
      </c>
      <c r="I32" s="53" t="s">
        <v>233</v>
      </c>
    </row>
    <row r="33" spans="3:9" ht="14.25">
      <c r="C33" s="81"/>
      <c r="E33" s="128"/>
      <c r="F33" s="45" t="s">
        <v>12</v>
      </c>
      <c r="G33" s="45" t="s">
        <v>135</v>
      </c>
      <c r="H33" s="45" t="s">
        <v>12</v>
      </c>
      <c r="I33" s="45" t="s">
        <v>135</v>
      </c>
    </row>
    <row r="34" spans="1:9" ht="12.75">
      <c r="A34" s="81"/>
      <c r="E34" s="48">
        <v>1</v>
      </c>
      <c r="F34" s="48">
        <v>10</v>
      </c>
      <c r="G34" s="48">
        <v>11</v>
      </c>
      <c r="H34" s="48">
        <v>12</v>
      </c>
      <c r="I34" s="48">
        <v>13</v>
      </c>
    </row>
    <row r="35" spans="1:9" ht="12.75">
      <c r="A35" s="81"/>
      <c r="E35" s="75">
        <v>41.5</v>
      </c>
      <c r="F35" s="50">
        <v>3.15</v>
      </c>
      <c r="G35" s="50" t="s">
        <v>145</v>
      </c>
      <c r="H35" s="50">
        <v>3</v>
      </c>
      <c r="I35" s="50" t="s">
        <v>145</v>
      </c>
    </row>
    <row r="36" spans="1:9" ht="12.75">
      <c r="A36" s="81"/>
      <c r="E36" s="75">
        <f>E35+1.6</f>
        <v>43.1</v>
      </c>
      <c r="F36" s="50">
        <v>3.15</v>
      </c>
      <c r="G36" s="76">
        <f aca="true" t="shared" si="5" ref="G36:G42">ROUND(AVERAGE(F35:F36)*C24,1)</f>
        <v>5</v>
      </c>
      <c r="H36" s="50">
        <v>3</v>
      </c>
      <c r="I36" s="76">
        <f>ROUND(AVERAGE(H35:H36)*C24,1)</f>
        <v>4.8</v>
      </c>
    </row>
    <row r="37" spans="1:9" ht="12.75">
      <c r="A37" s="81"/>
      <c r="E37" s="75">
        <f>E36+2.85</f>
        <v>45.95</v>
      </c>
      <c r="F37" s="50">
        <v>3.15</v>
      </c>
      <c r="G37" s="76">
        <f t="shared" si="5"/>
        <v>9</v>
      </c>
      <c r="H37" s="50">
        <v>3</v>
      </c>
      <c r="I37" s="76">
        <f aca="true" t="shared" si="6" ref="I37:I42">ROUND(AVERAGE(H36:H37)*C25,1)</f>
        <v>8.6</v>
      </c>
    </row>
    <row r="38" spans="5:9" ht="12.75">
      <c r="E38" s="75">
        <f>E37+5.55</f>
        <v>51.5</v>
      </c>
      <c r="F38" s="50">
        <v>3.15</v>
      </c>
      <c r="G38" s="76">
        <f t="shared" si="5"/>
        <v>17.5</v>
      </c>
      <c r="H38" s="50">
        <v>3</v>
      </c>
      <c r="I38" s="76">
        <f t="shared" si="6"/>
        <v>16.7</v>
      </c>
    </row>
    <row r="39" spans="1:9" ht="12.75">
      <c r="A39" s="81"/>
      <c r="E39" s="93">
        <f>E38+11.95</f>
        <v>63.45</v>
      </c>
      <c r="F39" s="91">
        <v>3.15</v>
      </c>
      <c r="G39" s="92">
        <f>ROUND(AVERAGE(F38:F39)*C27,1)</f>
        <v>37.6</v>
      </c>
      <c r="H39" s="91">
        <v>3</v>
      </c>
      <c r="I39" s="92">
        <f t="shared" si="6"/>
        <v>35.9</v>
      </c>
    </row>
    <row r="40" spans="5:9" ht="12.75">
      <c r="E40" s="75">
        <f>E39+9.7</f>
        <v>73.15</v>
      </c>
      <c r="F40" s="50">
        <v>3.15</v>
      </c>
      <c r="G40" s="76">
        <f>ROUND(AVERAGE(F39:F40)*C28,1)</f>
        <v>30.6</v>
      </c>
      <c r="H40" s="50">
        <v>3</v>
      </c>
      <c r="I40" s="76">
        <f t="shared" si="6"/>
        <v>29.1</v>
      </c>
    </row>
    <row r="41" spans="5:9" ht="12.75">
      <c r="E41" s="75">
        <f>E40+1.3</f>
        <v>74.45</v>
      </c>
      <c r="F41" s="50">
        <v>3.15</v>
      </c>
      <c r="G41" s="76">
        <f t="shared" si="5"/>
        <v>4.1</v>
      </c>
      <c r="H41" s="50">
        <v>3</v>
      </c>
      <c r="I41" s="76">
        <f t="shared" si="6"/>
        <v>3.9</v>
      </c>
    </row>
    <row r="42" spans="5:9" ht="12.75">
      <c r="E42" s="75">
        <f>E41+8</f>
        <v>82.45</v>
      </c>
      <c r="F42" s="50">
        <v>3.15</v>
      </c>
      <c r="G42" s="76">
        <f t="shared" si="5"/>
        <v>25.2</v>
      </c>
      <c r="H42" s="50">
        <v>3</v>
      </c>
      <c r="I42" s="76">
        <f t="shared" si="6"/>
        <v>24</v>
      </c>
    </row>
    <row r="43" spans="6:9" ht="12.75">
      <c r="F43" s="77" t="s">
        <v>412</v>
      </c>
      <c r="G43" s="77">
        <f>SUM(G36:G38,G40:G42)</f>
        <v>91.4</v>
      </c>
      <c r="H43" s="125"/>
      <c r="I43" s="77">
        <f>SUM(I36:I42)</f>
        <v>123</v>
      </c>
    </row>
    <row r="44" spans="6:9" ht="12.75">
      <c r="F44" s="77" t="s">
        <v>413</v>
      </c>
      <c r="G44" s="77">
        <f>G39</f>
        <v>37.6</v>
      </c>
      <c r="H44" s="90"/>
      <c r="I44" s="90"/>
    </row>
    <row r="45" spans="6:9" ht="12.75">
      <c r="F45" s="90"/>
      <c r="G45" s="90"/>
      <c r="H45" s="90"/>
      <c r="I45" s="90"/>
    </row>
    <row r="46" spans="4:9" ht="12.75">
      <c r="D46" s="62" t="s">
        <v>299</v>
      </c>
      <c r="E46" s="62" t="s">
        <v>300</v>
      </c>
      <c r="F46" s="62" t="s">
        <v>251</v>
      </c>
      <c r="G46" s="77" t="s">
        <v>301</v>
      </c>
      <c r="H46" s="90"/>
      <c r="I46" s="90"/>
    </row>
    <row r="47" spans="1:7" ht="12.75">
      <c r="A47" s="131" t="str">
        <f>D20</f>
        <v>Pow. oczyszczenia niebitumiczne</v>
      </c>
      <c r="B47" s="131"/>
      <c r="C47" s="131"/>
      <c r="D47" s="52">
        <f>D31</f>
        <v>98.60000000000001</v>
      </c>
      <c r="E47" s="62"/>
      <c r="F47" s="62"/>
      <c r="G47" s="77">
        <f aca="true" t="shared" si="7" ref="G47:G53">SUM(D47:F47)</f>
        <v>98.60000000000001</v>
      </c>
    </row>
    <row r="48" spans="1:7" ht="12.75">
      <c r="A48" s="131" t="str">
        <f>E20</f>
        <v>Pow. oczyszczenia bitumiczne - wiążąca</v>
      </c>
      <c r="B48" s="131"/>
      <c r="C48" s="131"/>
      <c r="D48" s="52">
        <f>E31</f>
        <v>123</v>
      </c>
      <c r="E48" s="52">
        <v>125</v>
      </c>
      <c r="F48" s="62"/>
      <c r="G48" s="77">
        <f t="shared" si="7"/>
        <v>248</v>
      </c>
    </row>
    <row r="49" spans="1:7" ht="12.75">
      <c r="A49" s="131" t="str">
        <f>G20</f>
        <v>powierzchnia koryta</v>
      </c>
      <c r="B49" s="131"/>
      <c r="C49" s="131"/>
      <c r="D49" s="52">
        <f>G31</f>
        <v>116</v>
      </c>
      <c r="E49" s="62"/>
      <c r="F49" s="62"/>
      <c r="G49" s="77">
        <f t="shared" si="7"/>
        <v>116</v>
      </c>
    </row>
    <row r="50" spans="1:7" ht="12.75">
      <c r="A50" s="131" t="str">
        <f>I20</f>
        <v>powierzchnia podbudowy 0/31,5</v>
      </c>
      <c r="B50" s="131"/>
      <c r="C50" s="131"/>
      <c r="D50" s="52">
        <f>I31</f>
        <v>98.60000000000001</v>
      </c>
      <c r="E50" s="62"/>
      <c r="F50" s="62">
        <f>20*2</f>
        <v>40</v>
      </c>
      <c r="G50" s="77">
        <f t="shared" si="7"/>
        <v>138.60000000000002</v>
      </c>
    </row>
    <row r="51" spans="1:7" ht="12.75">
      <c r="A51" s="131" t="s">
        <v>232</v>
      </c>
      <c r="B51" s="131"/>
      <c r="C51" s="131"/>
      <c r="D51" s="52">
        <f>G43</f>
        <v>91.4</v>
      </c>
      <c r="E51" s="62"/>
      <c r="F51" s="62"/>
      <c r="G51" s="77">
        <f t="shared" si="7"/>
        <v>91.4</v>
      </c>
    </row>
    <row r="52" spans="1:7" ht="12.75">
      <c r="A52" s="131" t="s">
        <v>415</v>
      </c>
      <c r="B52" s="131"/>
      <c r="C52" s="131"/>
      <c r="D52" s="52">
        <f>G44</f>
        <v>37.6</v>
      </c>
      <c r="E52" s="62"/>
      <c r="F52" s="62"/>
      <c r="G52" s="77">
        <f>SUM(D52:F52)</f>
        <v>37.6</v>
      </c>
    </row>
    <row r="53" spans="1:7" ht="12.75">
      <c r="A53" s="133" t="str">
        <f>I32</f>
        <v>w-wa ścieralna gr. 4 cm</v>
      </c>
      <c r="B53" s="134"/>
      <c r="C53" s="135"/>
      <c r="D53" s="52">
        <f>I43</f>
        <v>123</v>
      </c>
      <c r="E53" s="52">
        <f>I43</f>
        <v>123</v>
      </c>
      <c r="F53" s="62"/>
      <c r="G53" s="77">
        <f t="shared" si="7"/>
        <v>246</v>
      </c>
    </row>
    <row r="58" spans="1:9" ht="12.75">
      <c r="A58" s="130" t="s">
        <v>380</v>
      </c>
      <c r="B58" s="130"/>
      <c r="C58" s="130"/>
      <c r="D58" s="130"/>
      <c r="E58" s="130"/>
      <c r="F58" s="130"/>
      <c r="G58" s="130"/>
      <c r="H58" s="130"/>
      <c r="I58" s="46"/>
    </row>
    <row r="59" spans="1:8" ht="25.5">
      <c r="A59" s="47" t="s">
        <v>142</v>
      </c>
      <c r="B59" s="132" t="str">
        <f>B18</f>
        <v>Remont mostu do szkoły łączącego drogi na dz. Nr 1518 i Nr 2490/1 w miejscowości Jaśliska</v>
      </c>
      <c r="C59" s="132"/>
      <c r="D59" s="132"/>
      <c r="E59" s="132"/>
      <c r="F59" s="132"/>
      <c r="G59" s="132"/>
      <c r="H59" s="132"/>
    </row>
    <row r="60" spans="1:8" ht="12.75">
      <c r="A60" s="63"/>
      <c r="B60" s="46"/>
      <c r="C60" s="46"/>
      <c r="D60" s="49"/>
      <c r="E60" s="49"/>
      <c r="F60" s="46"/>
      <c r="G60" s="46"/>
      <c r="H60" s="46"/>
    </row>
    <row r="61" spans="1:7" ht="25.5">
      <c r="A61" s="128" t="s">
        <v>10</v>
      </c>
      <c r="B61" s="51" t="s">
        <v>229</v>
      </c>
      <c r="C61" s="74" t="s">
        <v>241</v>
      </c>
      <c r="D61" s="74" t="s">
        <v>242</v>
      </c>
      <c r="E61" s="74" t="s">
        <v>243</v>
      </c>
      <c r="F61" s="74" t="s">
        <v>244</v>
      </c>
      <c r="G61" s="99"/>
    </row>
    <row r="62" spans="1:7" ht="14.25">
      <c r="A62" s="128"/>
      <c r="B62" s="45" t="s">
        <v>143</v>
      </c>
      <c r="C62" s="45" t="s">
        <v>135</v>
      </c>
      <c r="D62" s="45" t="s">
        <v>135</v>
      </c>
      <c r="E62" s="45" t="s">
        <v>136</v>
      </c>
      <c r="F62" s="45" t="s">
        <v>136</v>
      </c>
      <c r="G62" s="100"/>
    </row>
    <row r="63" spans="1:7" ht="12.75">
      <c r="A63" s="48">
        <v>1</v>
      </c>
      <c r="B63" s="48">
        <v>2</v>
      </c>
      <c r="C63" s="48">
        <v>3</v>
      </c>
      <c r="D63" s="48">
        <v>4</v>
      </c>
      <c r="E63" s="48">
        <v>5</v>
      </c>
      <c r="F63" s="48">
        <v>6</v>
      </c>
      <c r="G63" s="101"/>
    </row>
    <row r="64" spans="1:7" ht="12.75">
      <c r="A64" s="75">
        <v>0</v>
      </c>
      <c r="B64" s="50" t="s">
        <v>145</v>
      </c>
      <c r="C64" s="50">
        <v>1.7</v>
      </c>
      <c r="D64" s="76">
        <v>5.4</v>
      </c>
      <c r="E64" s="50"/>
      <c r="F64" s="62"/>
      <c r="G64" s="102"/>
    </row>
    <row r="65" spans="1:9" ht="12.75">
      <c r="A65" s="75">
        <v>10</v>
      </c>
      <c r="B65" s="50">
        <f>A65-A64</f>
        <v>10</v>
      </c>
      <c r="C65" s="50">
        <v>5.8</v>
      </c>
      <c r="D65" s="76">
        <v>6.5</v>
      </c>
      <c r="E65" s="76">
        <f>ROUND(AVERAGE(C64:C65)*B65,1)</f>
        <v>37.5</v>
      </c>
      <c r="F65" s="76">
        <f>ROUND(AVERAGE(D64:D65)*B65,1)</f>
        <v>59.5</v>
      </c>
      <c r="G65" s="103"/>
      <c r="H65" s="108" t="s">
        <v>381</v>
      </c>
      <c r="I65" s="109">
        <f>F70-E70</f>
        <v>175.00000000000003</v>
      </c>
    </row>
    <row r="66" spans="1:9" ht="12.75">
      <c r="A66" s="80">
        <v>20</v>
      </c>
      <c r="B66" s="50">
        <f>A66-A65</f>
        <v>10</v>
      </c>
      <c r="C66" s="79">
        <f>AVERAGE(C65,C67)</f>
        <v>4.05</v>
      </c>
      <c r="D66" s="79">
        <f>AVERAGE(D65,D67)</f>
        <v>6.55</v>
      </c>
      <c r="E66" s="76">
        <f>ROUND(AVERAGE(C65:C66)*B66,1)</f>
        <v>49.3</v>
      </c>
      <c r="F66" s="76">
        <f>ROUND(AVERAGE(D65:D66)*B66,1)</f>
        <v>65.3</v>
      </c>
      <c r="G66" s="103"/>
      <c r="H66" s="108" t="s">
        <v>382</v>
      </c>
      <c r="I66" s="109">
        <f>E70</f>
        <v>156.1</v>
      </c>
    </row>
    <row r="67" spans="1:9" ht="12.75">
      <c r="A67" s="75">
        <v>30</v>
      </c>
      <c r="B67" s="50">
        <f>A67-A66</f>
        <v>10</v>
      </c>
      <c r="C67" s="50">
        <v>2.3</v>
      </c>
      <c r="D67" s="76">
        <v>6.6</v>
      </c>
      <c r="E67" s="76">
        <f>ROUND(AVERAGE(C66:C67)*B67,1)</f>
        <v>31.8</v>
      </c>
      <c r="F67" s="76">
        <f>ROUND(AVERAGE(D66:D67)*B67,1)</f>
        <v>65.8</v>
      </c>
      <c r="G67" s="103"/>
      <c r="I67" s="107"/>
    </row>
    <row r="68" spans="1:7" ht="12.75">
      <c r="A68" s="75">
        <v>40</v>
      </c>
      <c r="B68" s="50">
        <f>A68-A67</f>
        <v>10</v>
      </c>
      <c r="C68" s="50">
        <v>1.8</v>
      </c>
      <c r="D68" s="76">
        <v>7.9</v>
      </c>
      <c r="E68" s="76">
        <f>ROUND(AVERAGE(C67:C68)*B68,1)</f>
        <v>20.5</v>
      </c>
      <c r="F68" s="76">
        <f>ROUND(AVERAGE(D67:D68)*B68,1)</f>
        <v>72.5</v>
      </c>
      <c r="G68" s="103"/>
    </row>
    <row r="69" spans="1:7" ht="12.75">
      <c r="A69" s="75">
        <v>50</v>
      </c>
      <c r="B69" s="50">
        <f>A69-A68</f>
        <v>10</v>
      </c>
      <c r="C69" s="50">
        <v>1.6</v>
      </c>
      <c r="D69" s="76">
        <v>5.7</v>
      </c>
      <c r="E69" s="76">
        <f>ROUND(AVERAGE(C68:C69)*B69,1)</f>
        <v>17</v>
      </c>
      <c r="F69" s="76">
        <f>ROUND(AVERAGE(D68:D69)*B69,1)</f>
        <v>68</v>
      </c>
      <c r="G69" s="103"/>
    </row>
    <row r="70" spans="1:7" ht="12.75">
      <c r="A70" s="105" t="s">
        <v>155</v>
      </c>
      <c r="B70" s="105"/>
      <c r="C70" s="105"/>
      <c r="D70" s="105"/>
      <c r="E70" s="77">
        <f>SUM(E64:E69)</f>
        <v>156.1</v>
      </c>
      <c r="F70" s="77">
        <f>SUM(F64:F69)</f>
        <v>331.1</v>
      </c>
      <c r="G70" s="104"/>
    </row>
  </sheetData>
  <sheetProtection/>
  <mergeCells count="22">
    <mergeCell ref="A1:H1"/>
    <mergeCell ref="A4:A5"/>
    <mergeCell ref="A13:G13"/>
    <mergeCell ref="A14:G14"/>
    <mergeCell ref="B4:B5"/>
    <mergeCell ref="A47:C47"/>
    <mergeCell ref="B2:H2"/>
    <mergeCell ref="A12:G12"/>
    <mergeCell ref="E32:E33"/>
    <mergeCell ref="B18:H18"/>
    <mergeCell ref="A58:H58"/>
    <mergeCell ref="B59:H59"/>
    <mergeCell ref="A61:A62"/>
    <mergeCell ref="A50:C50"/>
    <mergeCell ref="A49:C49"/>
    <mergeCell ref="A53:C53"/>
    <mergeCell ref="A20:A21"/>
    <mergeCell ref="A31:C31"/>
    <mergeCell ref="A17:H17"/>
    <mergeCell ref="A52:C52"/>
    <mergeCell ref="A51:C51"/>
    <mergeCell ref="A48:C4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N315"/>
  <sheetViews>
    <sheetView view="pageBreakPreview" zoomScale="115" zoomScaleNormal="145" zoomScaleSheetLayoutView="115" zoomScalePageLayoutView="0" workbookViewId="0" topLeftCell="A241">
      <selection activeCell="D247" sqref="D247"/>
    </sheetView>
  </sheetViews>
  <sheetFormatPr defaultColWidth="9.00390625" defaultRowHeight="12.75"/>
  <cols>
    <col min="1" max="1" width="3.75390625" style="41" customWidth="1"/>
    <col min="2" max="2" width="13.75390625" style="41" customWidth="1"/>
    <col min="3" max="3" width="8.00390625" style="42" customWidth="1"/>
    <col min="4" max="4" width="66.875" style="43" customWidth="1"/>
    <col min="5" max="5" width="10.00390625" style="21" customWidth="1"/>
    <col min="6" max="6" width="11.125" style="71" customWidth="1"/>
    <col min="7" max="7" width="12.875" style="44" hidden="1" customWidth="1"/>
    <col min="8" max="8" width="12.75390625" style="44" hidden="1" customWidth="1"/>
    <col min="9" max="9" width="9.125" style="21" customWidth="1"/>
    <col min="10" max="10" width="15.25390625" style="120" customWidth="1"/>
    <col min="11" max="11" width="9.125" style="21" customWidth="1"/>
    <col min="12" max="12" width="10.375" style="21" customWidth="1"/>
    <col min="13" max="16384" width="9.125" style="21" customWidth="1"/>
  </cols>
  <sheetData>
    <row r="1" spans="1:8" ht="24.75" customHeight="1">
      <c r="A1" s="155" t="str">
        <f>OKŁADKA_P!A9</f>
        <v>PRZEDMIAR ROBÓT</v>
      </c>
      <c r="B1" s="156"/>
      <c r="C1" s="156"/>
      <c r="D1" s="156"/>
      <c r="E1" s="156"/>
      <c r="F1" s="156"/>
      <c r="G1" s="156"/>
      <c r="H1" s="156"/>
    </row>
    <row r="2" spans="1:8" ht="69.75" customHeight="1">
      <c r="A2" s="155" t="str">
        <f>OKŁADKA_P!A12</f>
        <v>Remont mostu do szkoły łączącego drogi na dz. Nr 1518 i Nr 2490/1 w miejscowości Jaśliska</v>
      </c>
      <c r="B2" s="156"/>
      <c r="C2" s="156"/>
      <c r="D2" s="156"/>
      <c r="E2" s="156"/>
      <c r="F2" s="156"/>
      <c r="G2" s="156"/>
      <c r="H2" s="156"/>
    </row>
    <row r="3" spans="1:8" ht="30" customHeight="1">
      <c r="A3" s="157" t="s">
        <v>261</v>
      </c>
      <c r="B3" s="158"/>
      <c r="C3" s="158"/>
      <c r="D3" s="158"/>
      <c r="E3" s="158"/>
      <c r="F3" s="158"/>
      <c r="G3" s="158"/>
      <c r="H3" s="158"/>
    </row>
    <row r="4" spans="1:8" ht="15" customHeight="1">
      <c r="A4" s="22"/>
      <c r="B4" s="22"/>
      <c r="C4" s="23"/>
      <c r="D4" s="24"/>
      <c r="E4" s="24"/>
      <c r="F4" s="68"/>
      <c r="G4" s="25"/>
      <c r="H4" s="25"/>
    </row>
    <row r="5" spans="1:8" ht="21.75" customHeight="1">
      <c r="A5" s="159" t="s">
        <v>9</v>
      </c>
      <c r="B5" s="160" t="s">
        <v>35</v>
      </c>
      <c r="C5" s="153" t="s">
        <v>36</v>
      </c>
      <c r="D5" s="151" t="s">
        <v>31</v>
      </c>
      <c r="E5" s="148" t="s">
        <v>26</v>
      </c>
      <c r="F5" s="148"/>
      <c r="G5" s="149" t="s">
        <v>29</v>
      </c>
      <c r="H5" s="149" t="s">
        <v>30</v>
      </c>
    </row>
    <row r="6" spans="1:11" ht="21.75" customHeight="1">
      <c r="A6" s="159"/>
      <c r="B6" s="160"/>
      <c r="C6" s="154"/>
      <c r="D6" s="152"/>
      <c r="E6" s="29" t="s">
        <v>27</v>
      </c>
      <c r="F6" s="64" t="s">
        <v>37</v>
      </c>
      <c r="G6" s="149"/>
      <c r="H6" s="149"/>
      <c r="J6" s="120" t="s">
        <v>141</v>
      </c>
      <c r="K6" s="21">
        <v>1000</v>
      </c>
    </row>
    <row r="7" spans="1:11" ht="30" customHeight="1">
      <c r="A7" s="150" t="s">
        <v>43</v>
      </c>
      <c r="B7" s="150"/>
      <c r="C7" s="150"/>
      <c r="D7" s="150"/>
      <c r="E7" s="150"/>
      <c r="F7" s="150"/>
      <c r="G7" s="150"/>
      <c r="H7" s="150"/>
      <c r="J7" s="120" t="s">
        <v>137</v>
      </c>
      <c r="K7" s="21">
        <v>82.45</v>
      </c>
    </row>
    <row r="8" spans="1:11" s="110" customFormat="1" ht="30" customHeight="1">
      <c r="A8" s="66" t="s">
        <v>28</v>
      </c>
      <c r="B8" s="66" t="s">
        <v>39</v>
      </c>
      <c r="C8" s="82"/>
      <c r="D8" s="66" t="s">
        <v>32</v>
      </c>
      <c r="E8" s="66" t="s">
        <v>28</v>
      </c>
      <c r="F8" s="59" t="s">
        <v>28</v>
      </c>
      <c r="G8" s="66" t="s">
        <v>28</v>
      </c>
      <c r="H8" s="66" t="s">
        <v>28</v>
      </c>
      <c r="J8" s="120" t="s">
        <v>138</v>
      </c>
      <c r="K8" s="110">
        <v>41.5</v>
      </c>
    </row>
    <row r="9" spans="1:12" s="65" customFormat="1" ht="30" customHeight="1">
      <c r="A9" s="18" t="s">
        <v>28</v>
      </c>
      <c r="B9" s="18" t="s">
        <v>13</v>
      </c>
      <c r="C9" s="26"/>
      <c r="D9" s="27" t="s">
        <v>38</v>
      </c>
      <c r="E9" s="83" t="s">
        <v>28</v>
      </c>
      <c r="F9" s="32" t="s">
        <v>28</v>
      </c>
      <c r="G9" s="18" t="s">
        <v>28</v>
      </c>
      <c r="H9" s="18" t="s">
        <v>28</v>
      </c>
      <c r="J9" s="120" t="s">
        <v>139</v>
      </c>
      <c r="K9" s="21">
        <v>50</v>
      </c>
      <c r="L9" s="21"/>
    </row>
    <row r="10" spans="1:8" ht="30" customHeight="1">
      <c r="A10" s="12">
        <v>1</v>
      </c>
      <c r="B10" s="12" t="s">
        <v>13</v>
      </c>
      <c r="C10" s="28">
        <v>11</v>
      </c>
      <c r="D10" s="19" t="s">
        <v>52</v>
      </c>
      <c r="E10" s="29" t="s">
        <v>10</v>
      </c>
      <c r="F10" s="20">
        <f>SUM(F14,F12)</f>
        <v>0.09095</v>
      </c>
      <c r="G10" s="20">
        <v>35000</v>
      </c>
      <c r="H10" s="20">
        <f>IF(ROUND(F10*G10,2)=0," ",ROUND(F10*G10,2))</f>
        <v>3183.25</v>
      </c>
    </row>
    <row r="11" spans="1:8" ht="12.75">
      <c r="A11" s="12"/>
      <c r="B11" s="12"/>
      <c r="C11" s="28"/>
      <c r="D11" s="19" t="s">
        <v>140</v>
      </c>
      <c r="E11" s="12"/>
      <c r="F11" s="20"/>
      <c r="G11" s="20"/>
      <c r="H11" s="20"/>
    </row>
    <row r="12" spans="1:8" ht="12.75">
      <c r="A12" s="12"/>
      <c r="B12" s="12"/>
      <c r="C12" s="28"/>
      <c r="D12" s="19" t="str">
        <f>"("&amp;K7&amp;"-"&amp;K8&amp;")/"&amp;K6&amp;""</f>
        <v>(82,45-41,5)/1000</v>
      </c>
      <c r="E12" s="12" t="s">
        <v>10</v>
      </c>
      <c r="F12" s="20">
        <f>(K7-K8)/1000</f>
        <v>0.04095</v>
      </c>
      <c r="G12" s="20"/>
      <c r="H12" s="20"/>
    </row>
    <row r="13" spans="1:8" ht="25.5">
      <c r="A13" s="12"/>
      <c r="B13" s="12"/>
      <c r="C13" s="28"/>
      <c r="D13" s="19" t="s">
        <v>131</v>
      </c>
      <c r="E13" s="12"/>
      <c r="F13" s="20"/>
      <c r="G13" s="20"/>
      <c r="H13" s="20"/>
    </row>
    <row r="14" spans="1:8" ht="12.75">
      <c r="A14" s="12"/>
      <c r="B14" s="12"/>
      <c r="C14" s="28"/>
      <c r="D14" s="19" t="str">
        <f>""&amp;K9&amp;"/"&amp;K6&amp;""</f>
        <v>50/1000</v>
      </c>
      <c r="E14" s="12" t="s">
        <v>10</v>
      </c>
      <c r="F14" s="20">
        <f>K9/K6</f>
        <v>0.05</v>
      </c>
      <c r="G14" s="20"/>
      <c r="H14" s="20"/>
    </row>
    <row r="15" spans="1:12" s="65" customFormat="1" ht="30" customHeight="1">
      <c r="A15" s="18" t="s">
        <v>28</v>
      </c>
      <c r="B15" s="18" t="s">
        <v>53</v>
      </c>
      <c r="C15" s="26"/>
      <c r="D15" s="27" t="s">
        <v>54</v>
      </c>
      <c r="E15" s="83" t="s">
        <v>28</v>
      </c>
      <c r="F15" s="32" t="s">
        <v>28</v>
      </c>
      <c r="G15" s="18" t="s">
        <v>28</v>
      </c>
      <c r="H15" s="18" t="s">
        <v>28</v>
      </c>
      <c r="J15" s="120"/>
      <c r="K15" s="21"/>
      <c r="L15" s="21"/>
    </row>
    <row r="16" spans="1:8" ht="25.5">
      <c r="A16" s="12">
        <f>A10+1</f>
        <v>2</v>
      </c>
      <c r="B16" s="12" t="s">
        <v>53</v>
      </c>
      <c r="C16" s="28">
        <v>11</v>
      </c>
      <c r="D16" s="19" t="s">
        <v>191</v>
      </c>
      <c r="E16" s="29" t="s">
        <v>136</v>
      </c>
      <c r="F16" s="20">
        <f>SUM(F17:F18)</f>
        <v>25.4</v>
      </c>
      <c r="G16" s="20">
        <v>547.93</v>
      </c>
      <c r="H16" s="20">
        <f>IF(ROUND(F16*G16,2)=0," ",ROUND(F16*G16,2))</f>
        <v>13917.42</v>
      </c>
    </row>
    <row r="17" spans="1:8" ht="38.25">
      <c r="A17" s="12"/>
      <c r="B17" s="12"/>
      <c r="C17" s="28"/>
      <c r="D17" s="19" t="s">
        <v>421</v>
      </c>
      <c r="E17" s="12"/>
      <c r="F17" s="20"/>
      <c r="G17" s="20"/>
      <c r="H17" s="20"/>
    </row>
    <row r="18" spans="1:8" ht="12.75">
      <c r="A18" s="12"/>
      <c r="B18" s="12"/>
      <c r="C18" s="28"/>
      <c r="D18" s="84">
        <f>TABELE!H14</f>
        <v>25.4</v>
      </c>
      <c r="E18" s="12"/>
      <c r="F18" s="20">
        <f>D18</f>
        <v>25.4</v>
      </c>
      <c r="G18" s="20"/>
      <c r="H18" s="20"/>
    </row>
    <row r="19" spans="1:8" ht="30" customHeight="1">
      <c r="A19" s="12">
        <f>A16+1</f>
        <v>3</v>
      </c>
      <c r="B19" s="12" t="s">
        <v>53</v>
      </c>
      <c r="C19" s="28">
        <v>11</v>
      </c>
      <c r="D19" s="19" t="s">
        <v>403</v>
      </c>
      <c r="E19" s="29" t="s">
        <v>134</v>
      </c>
      <c r="F19" s="20">
        <f>F21</f>
        <v>3</v>
      </c>
      <c r="G19" s="20"/>
      <c r="H19" s="20"/>
    </row>
    <row r="20" spans="1:8" ht="63.75">
      <c r="A20" s="97"/>
      <c r="B20" s="97"/>
      <c r="C20" s="98"/>
      <c r="D20" s="19" t="s">
        <v>402</v>
      </c>
      <c r="E20" s="97"/>
      <c r="F20" s="111"/>
      <c r="G20" s="20"/>
      <c r="H20" s="20"/>
    </row>
    <row r="21" spans="1:8" ht="12.75">
      <c r="A21" s="97"/>
      <c r="B21" s="97"/>
      <c r="C21" s="98"/>
      <c r="D21" s="84">
        <v>3</v>
      </c>
      <c r="E21" s="29" t="str">
        <f>E19</f>
        <v>szt.</v>
      </c>
      <c r="F21" s="20">
        <f>D21</f>
        <v>3</v>
      </c>
      <c r="G21" s="20"/>
      <c r="H21" s="20"/>
    </row>
    <row r="22" spans="1:12" s="65" customFormat="1" ht="30" customHeight="1">
      <c r="A22" s="18" t="s">
        <v>28</v>
      </c>
      <c r="B22" s="18" t="s">
        <v>116</v>
      </c>
      <c r="C22" s="26"/>
      <c r="D22" s="27" t="s">
        <v>117</v>
      </c>
      <c r="E22" s="83" t="s">
        <v>28</v>
      </c>
      <c r="F22" s="32" t="s">
        <v>28</v>
      </c>
      <c r="G22" s="18" t="s">
        <v>28</v>
      </c>
      <c r="H22" s="18" t="s">
        <v>28</v>
      </c>
      <c r="J22" s="120"/>
      <c r="K22" s="21"/>
      <c r="L22" s="21"/>
    </row>
    <row r="23" spans="1:8" ht="30" customHeight="1">
      <c r="A23" s="12">
        <f>A19+1</f>
        <v>4</v>
      </c>
      <c r="B23" s="12" t="s">
        <v>116</v>
      </c>
      <c r="C23" s="28" t="s">
        <v>51</v>
      </c>
      <c r="D23" s="19" t="s">
        <v>389</v>
      </c>
      <c r="E23" s="29" t="s">
        <v>135</v>
      </c>
      <c r="F23" s="20">
        <f>F25</f>
        <v>18</v>
      </c>
      <c r="G23" s="20">
        <v>50</v>
      </c>
      <c r="H23" s="20">
        <f>IF(ROUND(F23*G23,2)=0," ",ROUND(F23*G23,2))</f>
        <v>900</v>
      </c>
    </row>
    <row r="24" spans="1:8" ht="51">
      <c r="A24" s="12"/>
      <c r="B24" s="12"/>
      <c r="C24" s="28"/>
      <c r="D24" s="19" t="s">
        <v>384</v>
      </c>
      <c r="E24" s="12"/>
      <c r="F24" s="20"/>
      <c r="G24" s="20"/>
      <c r="H24" s="20"/>
    </row>
    <row r="25" spans="1:8" ht="14.25">
      <c r="A25" s="12"/>
      <c r="B25" s="12"/>
      <c r="C25" s="28"/>
      <c r="D25" s="19" t="str">
        <f>D28</f>
        <v>3x3x2</v>
      </c>
      <c r="E25" s="29" t="s">
        <v>135</v>
      </c>
      <c r="F25" s="20">
        <f>F26</f>
        <v>18</v>
      </c>
      <c r="G25" s="20"/>
      <c r="H25" s="20"/>
    </row>
    <row r="26" spans="1:11" ht="30" customHeight="1">
      <c r="A26" s="12">
        <f>A23+1</f>
        <v>5</v>
      </c>
      <c r="B26" s="12" t="s">
        <v>116</v>
      </c>
      <c r="C26" s="28" t="s">
        <v>83</v>
      </c>
      <c r="D26" s="19" t="s">
        <v>390</v>
      </c>
      <c r="E26" s="29" t="s">
        <v>135</v>
      </c>
      <c r="F26" s="20">
        <f>F28</f>
        <v>18</v>
      </c>
      <c r="G26" s="20">
        <v>50</v>
      </c>
      <c r="H26" s="20">
        <f>IF(ROUND(F26*G26,2)=0," ",ROUND(F26*G26,2))</f>
        <v>900</v>
      </c>
      <c r="J26" s="120" t="s">
        <v>327</v>
      </c>
      <c r="K26" s="21">
        <v>3</v>
      </c>
    </row>
    <row r="27" spans="1:11" ht="51">
      <c r="A27" s="12"/>
      <c r="B27" s="12"/>
      <c r="C27" s="28"/>
      <c r="D27" s="19" t="s">
        <v>329</v>
      </c>
      <c r="E27" s="12"/>
      <c r="F27" s="20"/>
      <c r="G27" s="20"/>
      <c r="H27" s="20"/>
      <c r="J27" s="120" t="s">
        <v>328</v>
      </c>
      <c r="K27" s="21">
        <v>3</v>
      </c>
    </row>
    <row r="28" spans="1:11" ht="14.25">
      <c r="A28" s="12"/>
      <c r="B28" s="12"/>
      <c r="C28" s="28"/>
      <c r="D28" s="19" t="str">
        <f>""&amp;K26&amp;"x"&amp;K27&amp;"x"&amp;K28&amp;""</f>
        <v>3x3x2</v>
      </c>
      <c r="E28" s="29" t="s">
        <v>135</v>
      </c>
      <c r="F28" s="20">
        <f>K28*K27*K26</f>
        <v>18</v>
      </c>
      <c r="G28" s="20"/>
      <c r="H28" s="20"/>
      <c r="J28" s="120" t="s">
        <v>163</v>
      </c>
      <c r="K28" s="21">
        <v>2</v>
      </c>
    </row>
    <row r="29" spans="1:8" ht="30" customHeight="1" hidden="1">
      <c r="A29" s="12"/>
      <c r="B29" s="18"/>
      <c r="C29" s="26"/>
      <c r="D29" s="144" t="str">
        <f>"RAZEM: "&amp;D8&amp;""</f>
        <v>RAZEM: ROBOTY PRZYGOTOWAWCZE</v>
      </c>
      <c r="E29" s="144"/>
      <c r="F29" s="144"/>
      <c r="G29" s="144"/>
      <c r="H29" s="58" t="e">
        <f>IF(SUM(#REF!,H26,H23,H16,#REF!,H10)=0," ",SUM(#REF!,H26,H23,H16,#REF!,H10))</f>
        <v>#REF!</v>
      </c>
    </row>
    <row r="30" spans="1:10" s="110" customFormat="1" ht="30" customHeight="1">
      <c r="A30" s="66" t="s">
        <v>28</v>
      </c>
      <c r="B30" s="66" t="s">
        <v>40</v>
      </c>
      <c r="C30" s="82"/>
      <c r="D30" s="66" t="s">
        <v>33</v>
      </c>
      <c r="E30" s="66" t="s">
        <v>28</v>
      </c>
      <c r="F30" s="59" t="s">
        <v>28</v>
      </c>
      <c r="G30" s="66" t="s">
        <v>28</v>
      </c>
      <c r="H30" s="66" t="s">
        <v>28</v>
      </c>
      <c r="J30" s="120"/>
    </row>
    <row r="31" spans="1:12" s="65" customFormat="1" ht="30" customHeight="1">
      <c r="A31" s="18" t="s">
        <v>28</v>
      </c>
      <c r="B31" s="18" t="s">
        <v>41</v>
      </c>
      <c r="C31" s="26"/>
      <c r="D31" s="27" t="s">
        <v>42</v>
      </c>
      <c r="E31" s="83" t="s">
        <v>28</v>
      </c>
      <c r="F31" s="32" t="s">
        <v>28</v>
      </c>
      <c r="G31" s="18" t="s">
        <v>28</v>
      </c>
      <c r="H31" s="18" t="s">
        <v>28</v>
      </c>
      <c r="J31" s="120"/>
      <c r="K31" s="21"/>
      <c r="L31" s="21"/>
    </row>
    <row r="32" spans="1:8" ht="30" customHeight="1">
      <c r="A32" s="12">
        <f>A26+1</f>
        <v>6</v>
      </c>
      <c r="B32" s="12" t="s">
        <v>41</v>
      </c>
      <c r="C32" s="28" t="s">
        <v>51</v>
      </c>
      <c r="D32" s="19" t="s">
        <v>406</v>
      </c>
      <c r="E32" s="29" t="s">
        <v>136</v>
      </c>
      <c r="F32" s="20">
        <f>F34</f>
        <v>156.1</v>
      </c>
      <c r="G32" s="20">
        <v>11.63</v>
      </c>
      <c r="H32" s="20">
        <f>IF(ROUND(F32*G32,2)=0," ",ROUND(F32*G32,2))</f>
        <v>1815.44</v>
      </c>
    </row>
    <row r="33" spans="1:11" ht="51">
      <c r="A33" s="12"/>
      <c r="B33" s="12"/>
      <c r="C33" s="28"/>
      <c r="D33" s="19" t="s">
        <v>404</v>
      </c>
      <c r="E33" s="29"/>
      <c r="F33" s="20"/>
      <c r="G33" s="20"/>
      <c r="H33" s="20"/>
      <c r="K33" s="55"/>
    </row>
    <row r="34" spans="1:8" ht="14.25">
      <c r="A34" s="12"/>
      <c r="B34" s="12"/>
      <c r="C34" s="28"/>
      <c r="D34" s="106">
        <f>TABELE!I66</f>
        <v>156.1</v>
      </c>
      <c r="E34" s="29" t="s">
        <v>136</v>
      </c>
      <c r="F34" s="20">
        <f>D34</f>
        <v>156.1</v>
      </c>
      <c r="G34" s="20"/>
      <c r="H34" s="20"/>
    </row>
    <row r="35" spans="1:8" ht="25.5">
      <c r="A35" s="12">
        <f>A32+1</f>
        <v>7</v>
      </c>
      <c r="B35" s="12" t="s">
        <v>41</v>
      </c>
      <c r="C35" s="28" t="s">
        <v>86</v>
      </c>
      <c r="D35" s="19" t="s">
        <v>405</v>
      </c>
      <c r="E35" s="29" t="s">
        <v>136</v>
      </c>
      <c r="F35" s="20">
        <f>F37+F39</f>
        <v>216.00000000000003</v>
      </c>
      <c r="G35" s="20">
        <v>62.14</v>
      </c>
      <c r="H35" s="20">
        <f>IF(ROUND(F35*G35,2)=0," ",ROUND(F35*G35,2))</f>
        <v>13422.24</v>
      </c>
    </row>
    <row r="36" spans="1:8" ht="25.5">
      <c r="A36" s="12"/>
      <c r="B36" s="12"/>
      <c r="C36" s="28"/>
      <c r="D36" s="19" t="s">
        <v>198</v>
      </c>
      <c r="E36" s="29"/>
      <c r="F36" s="20"/>
      <c r="G36" s="20"/>
      <c r="H36" s="20"/>
    </row>
    <row r="37" spans="1:8" ht="14.25">
      <c r="A37" s="12"/>
      <c r="B37" s="12"/>
      <c r="C37" s="28"/>
      <c r="D37" s="106">
        <f>PRZEDMIAR!F241</f>
        <v>41</v>
      </c>
      <c r="E37" s="29" t="s">
        <v>136</v>
      </c>
      <c r="F37" s="20">
        <f>D37</f>
        <v>41</v>
      </c>
      <c r="G37" s="20"/>
      <c r="H37" s="20"/>
    </row>
    <row r="38" spans="1:8" ht="25.5">
      <c r="A38" s="12"/>
      <c r="B38" s="12"/>
      <c r="C38" s="28"/>
      <c r="D38" s="19" t="s">
        <v>407</v>
      </c>
      <c r="E38" s="29"/>
      <c r="F38" s="20"/>
      <c r="G38" s="20"/>
      <c r="H38" s="20"/>
    </row>
    <row r="39" spans="1:8" ht="14.25">
      <c r="A39" s="12"/>
      <c r="B39" s="12"/>
      <c r="C39" s="28"/>
      <c r="D39" s="106">
        <f>TABELE!I65</f>
        <v>175.00000000000003</v>
      </c>
      <c r="E39" s="29" t="s">
        <v>136</v>
      </c>
      <c r="F39" s="20">
        <f>D39</f>
        <v>175.00000000000003</v>
      </c>
      <c r="G39" s="20"/>
      <c r="H39" s="20"/>
    </row>
    <row r="40" spans="1:8" ht="30" customHeight="1" hidden="1">
      <c r="A40" s="29"/>
      <c r="B40" s="18"/>
      <c r="C40" s="26"/>
      <c r="D40" s="144" t="str">
        <f>"RAZEM: "&amp;D30&amp;""</f>
        <v>RAZEM: ROBOTY ZIEMNE</v>
      </c>
      <c r="E40" s="144"/>
      <c r="F40" s="144"/>
      <c r="G40" s="144"/>
      <c r="H40" s="58" t="e">
        <f>IF(SUM(H32,H35,#REF!,#REF!)=0," ",SUM(H32,H35,#REF!,#REF!))</f>
        <v>#REF!</v>
      </c>
    </row>
    <row r="41" spans="1:10" s="110" customFormat="1" ht="30" customHeight="1">
      <c r="A41" s="66" t="s">
        <v>28</v>
      </c>
      <c r="B41" s="66" t="s">
        <v>304</v>
      </c>
      <c r="C41" s="82"/>
      <c r="D41" s="66" t="s">
        <v>305</v>
      </c>
      <c r="E41" s="66" t="s">
        <v>28</v>
      </c>
      <c r="F41" s="59" t="s">
        <v>28</v>
      </c>
      <c r="G41" s="66"/>
      <c r="H41" s="66"/>
      <c r="J41" s="120"/>
    </row>
    <row r="42" spans="1:8" ht="30" customHeight="1">
      <c r="A42" s="18" t="s">
        <v>28</v>
      </c>
      <c r="B42" s="18" t="s">
        <v>306</v>
      </c>
      <c r="C42" s="26"/>
      <c r="D42" s="27" t="s">
        <v>307</v>
      </c>
      <c r="E42" s="83" t="s">
        <v>28</v>
      </c>
      <c r="F42" s="32" t="s">
        <v>28</v>
      </c>
      <c r="G42" s="20"/>
      <c r="H42" s="20"/>
    </row>
    <row r="43" spans="1:8" ht="30" customHeight="1">
      <c r="A43" s="12">
        <f>A35+1</f>
        <v>8</v>
      </c>
      <c r="B43" s="12" t="s">
        <v>306</v>
      </c>
      <c r="C43" s="28" t="s">
        <v>308</v>
      </c>
      <c r="D43" s="19" t="s">
        <v>310</v>
      </c>
      <c r="E43" s="29" t="s">
        <v>12</v>
      </c>
      <c r="F43" s="20">
        <f>F45</f>
        <v>15</v>
      </c>
      <c r="G43" s="20"/>
      <c r="H43" s="20"/>
    </row>
    <row r="44" spans="1:8" ht="51">
      <c r="A44" s="12"/>
      <c r="B44" s="12"/>
      <c r="C44" s="28"/>
      <c r="D44" s="19" t="s">
        <v>309</v>
      </c>
      <c r="E44" s="29"/>
      <c r="F44" s="20"/>
      <c r="G44" s="20"/>
      <c r="H44" s="20"/>
    </row>
    <row r="45" spans="1:8" ht="12.75">
      <c r="A45" s="12"/>
      <c r="B45" s="12"/>
      <c r="C45" s="28"/>
      <c r="D45" s="84">
        <v>15</v>
      </c>
      <c r="E45" s="29" t="s">
        <v>12</v>
      </c>
      <c r="F45" s="20">
        <f>D45</f>
        <v>15</v>
      </c>
      <c r="G45" s="20"/>
      <c r="H45" s="20"/>
    </row>
    <row r="46" spans="1:8" ht="30" customHeight="1">
      <c r="A46" s="12">
        <f>A43+1</f>
        <v>9</v>
      </c>
      <c r="B46" s="12" t="s">
        <v>306</v>
      </c>
      <c r="C46" s="28" t="s">
        <v>311</v>
      </c>
      <c r="D46" s="19" t="s">
        <v>408</v>
      </c>
      <c r="E46" s="29" t="s">
        <v>312</v>
      </c>
      <c r="F46" s="20">
        <f>F48</f>
        <v>1</v>
      </c>
      <c r="G46" s="20"/>
      <c r="H46" s="20"/>
    </row>
    <row r="47" spans="1:8" ht="38.25">
      <c r="A47" s="96"/>
      <c r="B47" s="97"/>
      <c r="C47" s="98"/>
      <c r="D47" s="19" t="s">
        <v>313</v>
      </c>
      <c r="E47" s="29"/>
      <c r="F47" s="64"/>
      <c r="G47" s="20"/>
      <c r="H47" s="20"/>
    </row>
    <row r="48" spans="1:8" ht="12.75">
      <c r="A48" s="96"/>
      <c r="B48" s="97"/>
      <c r="C48" s="98"/>
      <c r="D48" s="84">
        <v>1</v>
      </c>
      <c r="E48" s="29" t="s">
        <v>312</v>
      </c>
      <c r="F48" s="64">
        <f>D48</f>
        <v>1</v>
      </c>
      <c r="G48" s="20"/>
      <c r="H48" s="20"/>
    </row>
    <row r="49" spans="1:10" s="110" customFormat="1" ht="30" customHeight="1">
      <c r="A49" s="66" t="s">
        <v>28</v>
      </c>
      <c r="B49" s="66" t="s">
        <v>55</v>
      </c>
      <c r="C49" s="82"/>
      <c r="D49" s="66" t="s">
        <v>56</v>
      </c>
      <c r="E49" s="66" t="s">
        <v>28</v>
      </c>
      <c r="F49" s="59" t="s">
        <v>28</v>
      </c>
      <c r="G49" s="66" t="s">
        <v>28</v>
      </c>
      <c r="H49" s="66" t="s">
        <v>28</v>
      </c>
      <c r="J49" s="120"/>
    </row>
    <row r="50" spans="1:8" ht="30" customHeight="1">
      <c r="A50" s="18" t="s">
        <v>28</v>
      </c>
      <c r="B50" s="18" t="s">
        <v>57</v>
      </c>
      <c r="C50" s="26"/>
      <c r="D50" s="27" t="s">
        <v>58</v>
      </c>
      <c r="E50" s="83" t="s">
        <v>28</v>
      </c>
      <c r="F50" s="32" t="s">
        <v>28</v>
      </c>
      <c r="G50" s="20" t="s">
        <v>28</v>
      </c>
      <c r="H50" s="20" t="s">
        <v>28</v>
      </c>
    </row>
    <row r="51" spans="1:8" ht="30" customHeight="1">
      <c r="A51" s="12">
        <f>A46+1</f>
        <v>10</v>
      </c>
      <c r="B51" s="12" t="s">
        <v>57</v>
      </c>
      <c r="C51" s="28" t="s">
        <v>93</v>
      </c>
      <c r="D51" s="19" t="s">
        <v>156</v>
      </c>
      <c r="E51" s="29" t="s">
        <v>135</v>
      </c>
      <c r="F51" s="20">
        <f>F53</f>
        <v>116</v>
      </c>
      <c r="G51" s="20">
        <v>29.85</v>
      </c>
      <c r="H51" s="20">
        <f>IF(ROUND(F51*G51,2)=0," ",ROUND(F51*G51,2))</f>
        <v>3462.6</v>
      </c>
    </row>
    <row r="52" spans="1:8" ht="25.5">
      <c r="A52" s="12"/>
      <c r="B52" s="12"/>
      <c r="C52" s="28"/>
      <c r="D52" s="19" t="s">
        <v>157</v>
      </c>
      <c r="E52" s="12"/>
      <c r="F52" s="20"/>
      <c r="G52" s="20"/>
      <c r="H52" s="20"/>
    </row>
    <row r="53" spans="1:8" ht="14.25">
      <c r="A53" s="12"/>
      <c r="B53" s="12"/>
      <c r="C53" s="28"/>
      <c r="D53" s="106">
        <f>TABELE!G49</f>
        <v>116</v>
      </c>
      <c r="E53" s="29" t="s">
        <v>135</v>
      </c>
      <c r="F53" s="20">
        <f>D53</f>
        <v>116</v>
      </c>
      <c r="G53" s="20"/>
      <c r="H53" s="20"/>
    </row>
    <row r="54" spans="1:8" ht="30" customHeight="1">
      <c r="A54" s="18" t="s">
        <v>28</v>
      </c>
      <c r="B54" s="18" t="s">
        <v>89</v>
      </c>
      <c r="C54" s="26"/>
      <c r="D54" s="27" t="s">
        <v>115</v>
      </c>
      <c r="E54" s="83" t="s">
        <v>28</v>
      </c>
      <c r="F54" s="32" t="s">
        <v>28</v>
      </c>
      <c r="G54" s="20" t="s">
        <v>28</v>
      </c>
      <c r="H54" s="20" t="s">
        <v>28</v>
      </c>
    </row>
    <row r="55" spans="1:8" ht="30" customHeight="1">
      <c r="A55" s="12">
        <f>A51+1</f>
        <v>11</v>
      </c>
      <c r="B55" s="12" t="s">
        <v>89</v>
      </c>
      <c r="C55" s="28" t="s">
        <v>86</v>
      </c>
      <c r="D55" s="19" t="s">
        <v>90</v>
      </c>
      <c r="E55" s="29" t="s">
        <v>135</v>
      </c>
      <c r="F55" s="20">
        <f>F58+F60</f>
        <v>346.6</v>
      </c>
      <c r="G55" s="20">
        <v>1.88</v>
      </c>
      <c r="H55" s="20">
        <f>IF(ROUND(F55*G55,2)=0," ",ROUND(F55*G55,2))</f>
        <v>651.61</v>
      </c>
    </row>
    <row r="56" spans="1:8" ht="25.5">
      <c r="A56" s="12"/>
      <c r="B56" s="12"/>
      <c r="C56" s="28"/>
      <c r="D56" s="19" t="s">
        <v>236</v>
      </c>
      <c r="E56" s="29"/>
      <c r="F56" s="20"/>
      <c r="G56" s="20"/>
      <c r="H56" s="20"/>
    </row>
    <row r="57" spans="1:8" ht="12.75">
      <c r="A57" s="12"/>
      <c r="B57" s="12"/>
      <c r="C57" s="28"/>
      <c r="D57" s="19" t="s">
        <v>159</v>
      </c>
      <c r="E57" s="29"/>
      <c r="F57" s="20"/>
      <c r="G57" s="20"/>
      <c r="H57" s="20"/>
    </row>
    <row r="58" spans="1:8" ht="14.25">
      <c r="A58" s="12"/>
      <c r="B58" s="12"/>
      <c r="C58" s="28"/>
      <c r="D58" s="106">
        <f>TABELE!G48</f>
        <v>248</v>
      </c>
      <c r="E58" s="29" t="s">
        <v>135</v>
      </c>
      <c r="F58" s="20">
        <f>D58</f>
        <v>248</v>
      </c>
      <c r="G58" s="20"/>
      <c r="H58" s="20"/>
    </row>
    <row r="59" spans="1:8" ht="12.75">
      <c r="A59" s="12"/>
      <c r="B59" s="12"/>
      <c r="C59" s="28"/>
      <c r="D59" s="19" t="s">
        <v>237</v>
      </c>
      <c r="E59" s="29"/>
      <c r="F59" s="20"/>
      <c r="G59" s="20"/>
      <c r="H59" s="20"/>
    </row>
    <row r="60" spans="1:8" ht="14.25">
      <c r="A60" s="12"/>
      <c r="B60" s="12"/>
      <c r="C60" s="28"/>
      <c r="D60" s="106">
        <f>TABELE!G47</f>
        <v>98.60000000000001</v>
      </c>
      <c r="E60" s="29" t="s">
        <v>135</v>
      </c>
      <c r="F60" s="20">
        <f>D60</f>
        <v>98.60000000000001</v>
      </c>
      <c r="G60" s="20"/>
      <c r="H60" s="20"/>
    </row>
    <row r="61" spans="1:8" ht="30" customHeight="1">
      <c r="A61" s="12">
        <f>A55+1</f>
        <v>12</v>
      </c>
      <c r="B61" s="12" t="s">
        <v>89</v>
      </c>
      <c r="C61" s="28" t="s">
        <v>83</v>
      </c>
      <c r="D61" s="19" t="s">
        <v>91</v>
      </c>
      <c r="E61" s="29" t="s">
        <v>135</v>
      </c>
      <c r="F61" s="20">
        <f>F64+F66</f>
        <v>346.6</v>
      </c>
      <c r="G61" s="20">
        <v>2.85</v>
      </c>
      <c r="H61" s="20">
        <f>IF(ROUND(F61*G61,2)=0," ",ROUND(F61*G61,2))</f>
        <v>987.81</v>
      </c>
    </row>
    <row r="62" spans="1:8" ht="25.5">
      <c r="A62" s="12"/>
      <c r="B62" s="12"/>
      <c r="C62" s="28"/>
      <c r="D62" s="19" t="s">
        <v>303</v>
      </c>
      <c r="E62" s="29"/>
      <c r="F62" s="20"/>
      <c r="G62" s="20"/>
      <c r="H62" s="20"/>
    </row>
    <row r="63" spans="1:8" ht="12.75">
      <c r="A63" s="12"/>
      <c r="B63" s="12"/>
      <c r="C63" s="28"/>
      <c r="D63" s="19" t="s">
        <v>160</v>
      </c>
      <c r="E63" s="29"/>
      <c r="F63" s="20"/>
      <c r="G63" s="20"/>
      <c r="H63" s="20"/>
    </row>
    <row r="64" spans="1:8" ht="14.25">
      <c r="A64" s="12"/>
      <c r="B64" s="12"/>
      <c r="C64" s="28"/>
      <c r="D64" s="106">
        <f>TABELE!G48</f>
        <v>248</v>
      </c>
      <c r="E64" s="29" t="s">
        <v>135</v>
      </c>
      <c r="F64" s="20">
        <f>D64</f>
        <v>248</v>
      </c>
      <c r="G64" s="20"/>
      <c r="H64" s="20"/>
    </row>
    <row r="65" spans="1:8" ht="12.75">
      <c r="A65" s="12"/>
      <c r="B65" s="12"/>
      <c r="C65" s="28"/>
      <c r="D65" s="19" t="s">
        <v>238</v>
      </c>
      <c r="E65" s="29"/>
      <c r="F65" s="20"/>
      <c r="G65" s="20"/>
      <c r="H65" s="20"/>
    </row>
    <row r="66" spans="1:8" ht="14.25">
      <c r="A66" s="12"/>
      <c r="B66" s="12"/>
      <c r="C66" s="28"/>
      <c r="D66" s="106">
        <f>TABELE!G47</f>
        <v>98.60000000000001</v>
      </c>
      <c r="E66" s="29" t="s">
        <v>135</v>
      </c>
      <c r="F66" s="20">
        <f>D66</f>
        <v>98.60000000000001</v>
      </c>
      <c r="G66" s="20"/>
      <c r="H66" s="20"/>
    </row>
    <row r="67" spans="1:8" ht="30" customHeight="1">
      <c r="A67" s="18" t="s">
        <v>28</v>
      </c>
      <c r="B67" s="18" t="s">
        <v>85</v>
      </c>
      <c r="C67" s="26"/>
      <c r="D67" s="27" t="s">
        <v>84</v>
      </c>
      <c r="E67" s="18" t="s">
        <v>28</v>
      </c>
      <c r="F67" s="32" t="s">
        <v>28</v>
      </c>
      <c r="G67" s="20" t="s">
        <v>28</v>
      </c>
      <c r="H67" s="20" t="s">
        <v>28</v>
      </c>
    </row>
    <row r="68" spans="1:8" ht="30" customHeight="1">
      <c r="A68" s="12">
        <f>A61+1</f>
        <v>13</v>
      </c>
      <c r="B68" s="12" t="s">
        <v>85</v>
      </c>
      <c r="C68" s="28" t="s">
        <v>239</v>
      </c>
      <c r="D68" s="19" t="s">
        <v>391</v>
      </c>
      <c r="E68" s="29" t="s">
        <v>135</v>
      </c>
      <c r="F68" s="20">
        <f>F70</f>
        <v>138.60000000000002</v>
      </c>
      <c r="G68" s="20">
        <v>72.42</v>
      </c>
      <c r="H68" s="20">
        <f>IF(ROUND(F68*G68,2)=0," ",ROUND(F68*G68,2))</f>
        <v>10037.41</v>
      </c>
    </row>
    <row r="69" spans="1:8" ht="25.5">
      <c r="A69" s="12"/>
      <c r="B69" s="12"/>
      <c r="C69" s="28"/>
      <c r="D69" s="19" t="s">
        <v>392</v>
      </c>
      <c r="E69" s="12"/>
      <c r="F69" s="20"/>
      <c r="G69" s="20"/>
      <c r="H69" s="20"/>
    </row>
    <row r="70" spans="1:8" ht="14.25">
      <c r="A70" s="12"/>
      <c r="B70" s="12"/>
      <c r="C70" s="28"/>
      <c r="D70" s="106">
        <f>TABELE!G50</f>
        <v>138.60000000000002</v>
      </c>
      <c r="E70" s="29" t="s">
        <v>135</v>
      </c>
      <c r="F70" s="20">
        <f>D70</f>
        <v>138.60000000000002</v>
      </c>
      <c r="G70" s="20"/>
      <c r="H70" s="20"/>
    </row>
    <row r="71" spans="1:8" ht="30" customHeight="1" hidden="1">
      <c r="A71" s="29"/>
      <c r="B71" s="18"/>
      <c r="C71" s="26"/>
      <c r="D71" s="144" t="str">
        <f>"RAZEM: "&amp;D49&amp;""</f>
        <v>RAZEM: PODBUDOWY</v>
      </c>
      <c r="E71" s="144"/>
      <c r="F71" s="144"/>
      <c r="G71" s="144"/>
      <c r="H71" s="58" t="e">
        <f>IF(SUM(#REF!,H68,H61,H55,#REF!,H51)=0," ",SUM(#REF!,H68,H61,H55,#REF!,H51))</f>
        <v>#REF!</v>
      </c>
    </row>
    <row r="72" spans="1:10" s="110" customFormat="1" ht="30" customHeight="1">
      <c r="A72" s="66" t="s">
        <v>28</v>
      </c>
      <c r="B72" s="66" t="s">
        <v>44</v>
      </c>
      <c r="C72" s="82"/>
      <c r="D72" s="66" t="s">
        <v>45</v>
      </c>
      <c r="E72" s="66" t="s">
        <v>28</v>
      </c>
      <c r="F72" s="59" t="s">
        <v>28</v>
      </c>
      <c r="G72" s="66" t="s">
        <v>28</v>
      </c>
      <c r="H72" s="66" t="s">
        <v>28</v>
      </c>
      <c r="J72" s="120"/>
    </row>
    <row r="73" spans="1:8" ht="30" customHeight="1">
      <c r="A73" s="18" t="s">
        <v>28</v>
      </c>
      <c r="B73" s="18" t="s">
        <v>46</v>
      </c>
      <c r="C73" s="26"/>
      <c r="D73" s="27" t="s">
        <v>47</v>
      </c>
      <c r="E73" s="18" t="s">
        <v>28</v>
      </c>
      <c r="F73" s="32" t="s">
        <v>28</v>
      </c>
      <c r="G73" s="20" t="s">
        <v>28</v>
      </c>
      <c r="H73" s="20" t="s">
        <v>28</v>
      </c>
    </row>
    <row r="74" spans="1:8" ht="30" customHeight="1">
      <c r="A74" s="12">
        <f>A68+1</f>
        <v>14</v>
      </c>
      <c r="B74" s="12" t="s">
        <v>46</v>
      </c>
      <c r="C74" s="28" t="s">
        <v>332</v>
      </c>
      <c r="D74" s="19" t="s">
        <v>410</v>
      </c>
      <c r="E74" s="29" t="s">
        <v>135</v>
      </c>
      <c r="F74" s="20">
        <f>F76</f>
        <v>37.6</v>
      </c>
      <c r="G74" s="20"/>
      <c r="H74" s="20"/>
    </row>
    <row r="75" spans="1:8" ht="30" customHeight="1">
      <c r="A75" s="12"/>
      <c r="B75" s="12"/>
      <c r="C75" s="28"/>
      <c r="D75" s="19" t="s">
        <v>411</v>
      </c>
      <c r="E75" s="12"/>
      <c r="F75" s="20"/>
      <c r="G75" s="20"/>
      <c r="H75" s="20"/>
    </row>
    <row r="76" spans="1:8" ht="14.25">
      <c r="A76" s="12"/>
      <c r="B76" s="12"/>
      <c r="C76" s="28"/>
      <c r="D76" s="106">
        <f>TABELE!G52</f>
        <v>37.6</v>
      </c>
      <c r="E76" s="29" t="s">
        <v>135</v>
      </c>
      <c r="F76" s="20">
        <f>D76</f>
        <v>37.6</v>
      </c>
      <c r="G76" s="20"/>
      <c r="H76" s="20"/>
    </row>
    <row r="77" spans="1:8" ht="30" customHeight="1">
      <c r="A77" s="12">
        <f>A74+1</f>
        <v>15</v>
      </c>
      <c r="B77" s="12" t="s">
        <v>46</v>
      </c>
      <c r="C77" s="28" t="s">
        <v>240</v>
      </c>
      <c r="D77" s="19" t="s">
        <v>420</v>
      </c>
      <c r="E77" s="29" t="s">
        <v>135</v>
      </c>
      <c r="F77" s="20">
        <f>F79</f>
        <v>91.4</v>
      </c>
      <c r="G77" s="20"/>
      <c r="H77" s="20"/>
    </row>
    <row r="78" spans="1:8" ht="30" customHeight="1">
      <c r="A78" s="18"/>
      <c r="B78" s="18"/>
      <c r="C78" s="26"/>
      <c r="D78" s="19" t="s">
        <v>416</v>
      </c>
      <c r="E78" s="12"/>
      <c r="F78" s="20"/>
      <c r="G78" s="20"/>
      <c r="H78" s="20"/>
    </row>
    <row r="79" spans="1:8" ht="14.25">
      <c r="A79" s="18"/>
      <c r="B79" s="18"/>
      <c r="C79" s="26"/>
      <c r="D79" s="106">
        <f>TABELE!G51</f>
        <v>91.4</v>
      </c>
      <c r="E79" s="29" t="s">
        <v>135</v>
      </c>
      <c r="F79" s="20">
        <f>D79</f>
        <v>91.4</v>
      </c>
      <c r="G79" s="20"/>
      <c r="H79" s="20"/>
    </row>
    <row r="80" spans="1:8" ht="30" customHeight="1">
      <c r="A80" s="12">
        <f>A77+1</f>
        <v>16</v>
      </c>
      <c r="B80" s="12" t="s">
        <v>46</v>
      </c>
      <c r="C80" s="28" t="s">
        <v>417</v>
      </c>
      <c r="D80" s="19" t="s">
        <v>418</v>
      </c>
      <c r="E80" s="29" t="s">
        <v>135</v>
      </c>
      <c r="F80" s="20">
        <f>F82</f>
        <v>246</v>
      </c>
      <c r="G80" s="20"/>
      <c r="H80" s="20"/>
    </row>
    <row r="81" spans="1:8" ht="25.5">
      <c r="A81" s="12"/>
      <c r="B81" s="12"/>
      <c r="C81" s="28"/>
      <c r="D81" s="19" t="s">
        <v>419</v>
      </c>
      <c r="E81" s="12"/>
      <c r="F81" s="20"/>
      <c r="G81" s="20"/>
      <c r="H81" s="20"/>
    </row>
    <row r="82" spans="1:8" ht="14.25">
      <c r="A82" s="12"/>
      <c r="B82" s="12"/>
      <c r="C82" s="28"/>
      <c r="D82" s="106">
        <f>TABELE!G53</f>
        <v>246</v>
      </c>
      <c r="E82" s="29" t="s">
        <v>135</v>
      </c>
      <c r="F82" s="20">
        <f>D82</f>
        <v>246</v>
      </c>
      <c r="G82" s="20"/>
      <c r="H82" s="20"/>
    </row>
    <row r="83" spans="1:8" ht="30" customHeight="1" hidden="1">
      <c r="A83" s="29"/>
      <c r="B83" s="18"/>
      <c r="C83" s="26"/>
      <c r="D83" s="144" t="str">
        <f>"RAZEM: "&amp;D72&amp;""</f>
        <v>RAZEM: NAWIERZCHNIE</v>
      </c>
      <c r="E83" s="144"/>
      <c r="F83" s="144"/>
      <c r="G83" s="144"/>
      <c r="H83" s="58" t="e">
        <f>IF(SUM(#REF!,#REF!,#REF!,#REF!)=0," ",SUM(#REF!,#REF!,#REF!,#REF!))</f>
        <v>#REF!</v>
      </c>
    </row>
    <row r="84" spans="1:10" s="110" customFormat="1" ht="30" customHeight="1">
      <c r="A84" s="66" t="s">
        <v>28</v>
      </c>
      <c r="B84" s="66" t="s">
        <v>4</v>
      </c>
      <c r="C84" s="82"/>
      <c r="D84" s="66" t="s">
        <v>5</v>
      </c>
      <c r="E84" s="66" t="s">
        <v>28</v>
      </c>
      <c r="F84" s="59" t="s">
        <v>28</v>
      </c>
      <c r="G84" s="66" t="s">
        <v>28</v>
      </c>
      <c r="H84" s="66" t="s">
        <v>28</v>
      </c>
      <c r="J84" s="120"/>
    </row>
    <row r="85" spans="1:8" ht="30" customHeight="1">
      <c r="A85" s="18" t="s">
        <v>28</v>
      </c>
      <c r="B85" s="18" t="s">
        <v>6</v>
      </c>
      <c r="C85" s="26"/>
      <c r="D85" s="27" t="s">
        <v>7</v>
      </c>
      <c r="E85" s="18" t="s">
        <v>28</v>
      </c>
      <c r="F85" s="32" t="s">
        <v>28</v>
      </c>
      <c r="G85" s="20" t="s">
        <v>28</v>
      </c>
      <c r="H85" s="20" t="s">
        <v>28</v>
      </c>
    </row>
    <row r="86" spans="1:8" ht="30" customHeight="1">
      <c r="A86" s="12">
        <f>A80+1</f>
        <v>17</v>
      </c>
      <c r="B86" s="12" t="s">
        <v>6</v>
      </c>
      <c r="C86" s="28">
        <v>11</v>
      </c>
      <c r="D86" s="19" t="s">
        <v>393</v>
      </c>
      <c r="E86" s="29" t="s">
        <v>12</v>
      </c>
      <c r="F86" s="20">
        <f>F88</f>
        <v>24</v>
      </c>
      <c r="G86" s="20">
        <v>320</v>
      </c>
      <c r="H86" s="20">
        <f>IF(ROUND(F86*G86,2)=0," ",ROUND(F86*G86,2))</f>
        <v>7680</v>
      </c>
    </row>
    <row r="87" spans="1:13" ht="51">
      <c r="A87" s="12"/>
      <c r="B87" s="12"/>
      <c r="C87" s="28"/>
      <c r="D87" s="19" t="s">
        <v>296</v>
      </c>
      <c r="E87" s="12"/>
      <c r="F87" s="20"/>
      <c r="G87" s="20"/>
      <c r="H87" s="20"/>
      <c r="J87" s="120" t="s">
        <v>162</v>
      </c>
      <c r="K87" s="21">
        <v>8</v>
      </c>
      <c r="L87" s="21">
        <v>8</v>
      </c>
      <c r="M87" s="21">
        <v>8</v>
      </c>
    </row>
    <row r="88" spans="1:8" ht="12.75">
      <c r="A88" s="12"/>
      <c r="B88" s="12"/>
      <c r="C88" s="28"/>
      <c r="D88" s="19" t="str">
        <f>""&amp;K87&amp;"+"&amp;L87&amp;"+"&amp;M87&amp;""</f>
        <v>8+8+8</v>
      </c>
      <c r="E88" s="29" t="s">
        <v>12</v>
      </c>
      <c r="F88" s="20">
        <f>K87+L87+M87</f>
        <v>24</v>
      </c>
      <c r="G88" s="20"/>
      <c r="H88" s="20"/>
    </row>
    <row r="89" spans="1:8" ht="30" customHeight="1">
      <c r="A89" s="18" t="s">
        <v>28</v>
      </c>
      <c r="B89" s="18" t="s">
        <v>324</v>
      </c>
      <c r="C89" s="26"/>
      <c r="D89" s="27" t="s">
        <v>325</v>
      </c>
      <c r="E89" s="18" t="s">
        <v>28</v>
      </c>
      <c r="F89" s="32" t="s">
        <v>28</v>
      </c>
      <c r="G89" s="20"/>
      <c r="H89" s="20"/>
    </row>
    <row r="90" spans="1:8" ht="30" customHeight="1">
      <c r="A90" s="12">
        <f>A86+1</f>
        <v>18</v>
      </c>
      <c r="B90" s="12" t="s">
        <v>324</v>
      </c>
      <c r="C90" s="28" t="s">
        <v>86</v>
      </c>
      <c r="D90" s="19" t="s">
        <v>422</v>
      </c>
      <c r="E90" s="29" t="s">
        <v>12</v>
      </c>
      <c r="F90" s="20">
        <f>F92</f>
        <v>20</v>
      </c>
      <c r="G90" s="20"/>
      <c r="H90" s="20"/>
    </row>
    <row r="91" spans="1:8" ht="38.25">
      <c r="A91" s="12"/>
      <c r="B91" s="12"/>
      <c r="C91" s="28"/>
      <c r="D91" s="19" t="s">
        <v>326</v>
      </c>
      <c r="E91" s="29"/>
      <c r="F91" s="20"/>
      <c r="G91" s="20"/>
      <c r="H91" s="20"/>
    </row>
    <row r="92" spans="1:8" ht="12.75">
      <c r="A92" s="12"/>
      <c r="B92" s="12"/>
      <c r="C92" s="28"/>
      <c r="D92" s="19">
        <v>20</v>
      </c>
      <c r="E92" s="29" t="s">
        <v>12</v>
      </c>
      <c r="F92" s="20">
        <f>D92</f>
        <v>20</v>
      </c>
      <c r="G92" s="20"/>
      <c r="H92" s="20"/>
    </row>
    <row r="93" spans="1:10" s="110" customFormat="1" ht="30" customHeight="1">
      <c r="A93" s="66" t="s">
        <v>28</v>
      </c>
      <c r="B93" s="66" t="s">
        <v>59</v>
      </c>
      <c r="C93" s="82"/>
      <c r="D93" s="66" t="s">
        <v>60</v>
      </c>
      <c r="E93" s="66" t="s">
        <v>28</v>
      </c>
      <c r="F93" s="59" t="s">
        <v>28</v>
      </c>
      <c r="G93" s="66" t="s">
        <v>28</v>
      </c>
      <c r="H93" s="66" t="s">
        <v>28</v>
      </c>
      <c r="J93" s="120"/>
    </row>
    <row r="94" spans="1:8" ht="30" customHeight="1">
      <c r="A94" s="18" t="s">
        <v>28</v>
      </c>
      <c r="B94" s="18" t="s">
        <v>113</v>
      </c>
      <c r="C94" s="26"/>
      <c r="D94" s="27" t="s">
        <v>112</v>
      </c>
      <c r="E94" s="18" t="s">
        <v>28</v>
      </c>
      <c r="F94" s="32" t="s">
        <v>28</v>
      </c>
      <c r="G94" s="20" t="s">
        <v>28</v>
      </c>
      <c r="H94" s="20" t="s">
        <v>28</v>
      </c>
    </row>
    <row r="95" spans="1:11" ht="30" customHeight="1">
      <c r="A95" s="12">
        <f>A90+1</f>
        <v>19</v>
      </c>
      <c r="B95" s="12" t="s">
        <v>61</v>
      </c>
      <c r="C95" s="28" t="s">
        <v>86</v>
      </c>
      <c r="D95" s="19" t="s">
        <v>114</v>
      </c>
      <c r="E95" s="29" t="s">
        <v>12</v>
      </c>
      <c r="F95" s="20">
        <f>F97</f>
        <v>6</v>
      </c>
      <c r="G95" s="20">
        <v>130</v>
      </c>
      <c r="H95" s="20">
        <f>IF(ROUND(F95*G95,2)=0," ",ROUND(F95*G95,2))</f>
        <v>780</v>
      </c>
      <c r="J95" s="120" t="s">
        <v>164</v>
      </c>
      <c r="K95" s="21">
        <v>2</v>
      </c>
    </row>
    <row r="96" spans="1:11" ht="30" customHeight="1">
      <c r="A96" s="12"/>
      <c r="B96" s="12"/>
      <c r="C96" s="28"/>
      <c r="D96" s="19" t="s">
        <v>343</v>
      </c>
      <c r="E96" s="29"/>
      <c r="F96" s="20"/>
      <c r="G96" s="20"/>
      <c r="H96" s="20"/>
      <c r="J96" s="120" t="s">
        <v>186</v>
      </c>
      <c r="K96" s="21">
        <v>3</v>
      </c>
    </row>
    <row r="97" spans="1:8" ht="12.75">
      <c r="A97" s="12"/>
      <c r="B97" s="12"/>
      <c r="C97" s="28"/>
      <c r="D97" s="19" t="str">
        <f>""&amp;K95&amp;"x"&amp;K96&amp;""</f>
        <v>2x3</v>
      </c>
      <c r="E97" s="29" t="s">
        <v>12</v>
      </c>
      <c r="F97" s="20">
        <f>K96*K95</f>
        <v>6</v>
      </c>
      <c r="G97" s="20"/>
      <c r="H97" s="20"/>
    </row>
    <row r="98" spans="1:8" ht="30" customHeight="1">
      <c r="A98" s="18" t="s">
        <v>28</v>
      </c>
      <c r="B98" s="18" t="s">
        <v>62</v>
      </c>
      <c r="C98" s="26"/>
      <c r="D98" s="27" t="s">
        <v>63</v>
      </c>
      <c r="E98" s="18" t="s">
        <v>28</v>
      </c>
      <c r="F98" s="32" t="s">
        <v>28</v>
      </c>
      <c r="G98" s="18" t="s">
        <v>28</v>
      </c>
      <c r="H98" s="18" t="s">
        <v>28</v>
      </c>
    </row>
    <row r="99" spans="1:11" ht="30" customHeight="1">
      <c r="A99" s="12">
        <f>A95+1</f>
        <v>20</v>
      </c>
      <c r="B99" s="12" t="s">
        <v>62</v>
      </c>
      <c r="C99" s="28">
        <v>11</v>
      </c>
      <c r="D99" s="19" t="s">
        <v>394</v>
      </c>
      <c r="E99" s="29" t="s">
        <v>135</v>
      </c>
      <c r="F99" s="20">
        <f>F101</f>
        <v>5</v>
      </c>
      <c r="G99" s="20">
        <v>150</v>
      </c>
      <c r="H99" s="20">
        <f>IF(ROUND(F99*G99,2)=0," ",ROUND(F99*G99,2))</f>
        <v>750</v>
      </c>
      <c r="J99" s="120" t="s">
        <v>292</v>
      </c>
      <c r="K99" s="21">
        <v>1</v>
      </c>
    </row>
    <row r="100" spans="1:11" ht="51">
      <c r="A100" s="12"/>
      <c r="B100" s="12"/>
      <c r="C100" s="28"/>
      <c r="D100" s="19" t="s">
        <v>227</v>
      </c>
      <c r="E100" s="29"/>
      <c r="F100" s="20"/>
      <c r="G100" s="20"/>
      <c r="H100" s="20"/>
      <c r="J100" s="120" t="s">
        <v>293</v>
      </c>
      <c r="K100" s="21">
        <v>0.5</v>
      </c>
    </row>
    <row r="101" spans="1:11" ht="14.25">
      <c r="A101" s="12"/>
      <c r="B101" s="12"/>
      <c r="C101" s="28"/>
      <c r="D101" s="19" t="str">
        <f>""&amp;K95&amp;"x"&amp;K99&amp;"x"&amp;K101&amp;"+"&amp;K102&amp;"x"&amp;K100&amp;"x"&amp;K95&amp;""</f>
        <v>2x1x2+1x0,5x2</v>
      </c>
      <c r="E101" s="29" t="s">
        <v>135</v>
      </c>
      <c r="F101" s="20">
        <f>K95*K99*K101+K95*K100*K102</f>
        <v>5</v>
      </c>
      <c r="G101" s="20"/>
      <c r="H101" s="20"/>
      <c r="J101" s="120" t="s">
        <v>294</v>
      </c>
      <c r="K101" s="21">
        <v>2</v>
      </c>
    </row>
    <row r="102" spans="1:11" ht="30" customHeight="1">
      <c r="A102" s="18" t="s">
        <v>28</v>
      </c>
      <c r="B102" s="18" t="s">
        <v>64</v>
      </c>
      <c r="C102" s="26"/>
      <c r="D102" s="27" t="s">
        <v>65</v>
      </c>
      <c r="E102" s="18" t="s">
        <v>28</v>
      </c>
      <c r="F102" s="32" t="s">
        <v>28</v>
      </c>
      <c r="G102" s="18" t="s">
        <v>28</v>
      </c>
      <c r="H102" s="18" t="s">
        <v>28</v>
      </c>
      <c r="J102" s="120" t="s">
        <v>295</v>
      </c>
      <c r="K102" s="21">
        <v>1</v>
      </c>
    </row>
    <row r="103" spans="1:8" ht="25.5">
      <c r="A103" s="12">
        <f>A99+1</f>
        <v>21</v>
      </c>
      <c r="B103" s="12" t="s">
        <v>64</v>
      </c>
      <c r="C103" s="28">
        <v>12</v>
      </c>
      <c r="D103" s="19" t="s">
        <v>342</v>
      </c>
      <c r="E103" s="29" t="s">
        <v>12</v>
      </c>
      <c r="F103" s="20">
        <f>F105</f>
        <v>8.5</v>
      </c>
      <c r="G103" s="20">
        <v>30</v>
      </c>
      <c r="H103" s="20">
        <f>IF(ROUND(F103*G103,2)=0," ",ROUND(F103*G103,2))</f>
        <v>255</v>
      </c>
    </row>
    <row r="104" spans="1:8" ht="51">
      <c r="A104" s="12"/>
      <c r="B104" s="12"/>
      <c r="C104" s="28"/>
      <c r="D104" s="19" t="s">
        <v>341</v>
      </c>
      <c r="E104" s="29"/>
      <c r="F104" s="20"/>
      <c r="G104" s="20"/>
      <c r="H104" s="20"/>
    </row>
    <row r="105" spans="1:8" ht="12.75">
      <c r="A105" s="12"/>
      <c r="B105" s="12"/>
      <c r="C105" s="28"/>
      <c r="D105" s="19" t="str">
        <f>""&amp;K95&amp;"x"&amp;K96&amp;"+"&amp;K99&amp;"x"&amp;K101&amp;"+"&amp;K100&amp;"x"&amp;K102&amp;""</f>
        <v>2x3+1x2+0,5x1</v>
      </c>
      <c r="E105" s="29" t="s">
        <v>12</v>
      </c>
      <c r="F105" s="20">
        <f>ROUND(K95*K96+K99*K101+K100*K102,1)</f>
        <v>8.5</v>
      </c>
      <c r="G105" s="20"/>
      <c r="H105" s="20"/>
    </row>
    <row r="106" spans="1:8" ht="30" customHeight="1">
      <c r="A106" s="18" t="s">
        <v>28</v>
      </c>
      <c r="B106" s="18" t="s">
        <v>314</v>
      </c>
      <c r="C106" s="26"/>
      <c r="D106" s="27" t="s">
        <v>315</v>
      </c>
      <c r="E106" s="18" t="s">
        <v>28</v>
      </c>
      <c r="F106" s="32" t="s">
        <v>28</v>
      </c>
      <c r="G106" s="20"/>
      <c r="H106" s="20"/>
    </row>
    <row r="107" spans="1:8" ht="30" customHeight="1">
      <c r="A107" s="12">
        <f>A103+1</f>
        <v>22</v>
      </c>
      <c r="B107" s="12" t="s">
        <v>314</v>
      </c>
      <c r="C107" s="28" t="s">
        <v>51</v>
      </c>
      <c r="D107" s="19" t="s">
        <v>395</v>
      </c>
      <c r="E107" s="29" t="s">
        <v>12</v>
      </c>
      <c r="F107" s="20">
        <f>F109</f>
        <v>25</v>
      </c>
      <c r="G107" s="20"/>
      <c r="H107" s="20"/>
    </row>
    <row r="108" spans="1:8" ht="30" customHeight="1">
      <c r="A108" s="12"/>
      <c r="B108" s="12"/>
      <c r="C108" s="28"/>
      <c r="D108" s="19" t="s">
        <v>316</v>
      </c>
      <c r="E108" s="29"/>
      <c r="F108" s="20"/>
      <c r="G108" s="20"/>
      <c r="H108" s="20"/>
    </row>
    <row r="109" spans="1:8" ht="12.75">
      <c r="A109" s="12"/>
      <c r="B109" s="12"/>
      <c r="C109" s="28"/>
      <c r="D109" s="19">
        <v>25</v>
      </c>
      <c r="E109" s="29" t="s">
        <v>12</v>
      </c>
      <c r="F109" s="20">
        <f>D109</f>
        <v>25</v>
      </c>
      <c r="G109" s="20"/>
      <c r="H109" s="20"/>
    </row>
    <row r="110" spans="1:10" s="110" customFormat="1" ht="30" customHeight="1">
      <c r="A110" s="66" t="s">
        <v>28</v>
      </c>
      <c r="B110" s="66" t="s">
        <v>317</v>
      </c>
      <c r="C110" s="82"/>
      <c r="D110" s="66" t="s">
        <v>318</v>
      </c>
      <c r="E110" s="66" t="s">
        <v>28</v>
      </c>
      <c r="F110" s="59" t="s">
        <v>28</v>
      </c>
      <c r="G110" s="66"/>
      <c r="H110" s="66"/>
      <c r="J110" s="120"/>
    </row>
    <row r="111" spans="1:8" ht="30" customHeight="1">
      <c r="A111" s="18" t="s">
        <v>28</v>
      </c>
      <c r="B111" s="18" t="s">
        <v>319</v>
      </c>
      <c r="C111" s="26"/>
      <c r="D111" s="27" t="s">
        <v>320</v>
      </c>
      <c r="E111" s="18" t="s">
        <v>28</v>
      </c>
      <c r="F111" s="32" t="s">
        <v>28</v>
      </c>
      <c r="G111" s="20"/>
      <c r="H111" s="20"/>
    </row>
    <row r="112" spans="1:8" ht="30" customHeight="1">
      <c r="A112" s="12">
        <f>A107+1</f>
        <v>23</v>
      </c>
      <c r="B112" s="12" t="s">
        <v>319</v>
      </c>
      <c r="C112" s="28" t="s">
        <v>321</v>
      </c>
      <c r="D112" s="19" t="s">
        <v>323</v>
      </c>
      <c r="E112" s="29" t="s">
        <v>135</v>
      </c>
      <c r="F112" s="20">
        <f>F114</f>
        <v>40</v>
      </c>
      <c r="G112" s="20"/>
      <c r="H112" s="20"/>
    </row>
    <row r="113" spans="1:8" ht="30" customHeight="1">
      <c r="A113" s="12"/>
      <c r="B113" s="12"/>
      <c r="C113" s="28"/>
      <c r="D113" s="19" t="s">
        <v>322</v>
      </c>
      <c r="E113" s="29"/>
      <c r="F113" s="20"/>
      <c r="G113" s="20"/>
      <c r="H113" s="20"/>
    </row>
    <row r="114" spans="1:8" ht="14.25">
      <c r="A114" s="12"/>
      <c r="B114" s="12"/>
      <c r="C114" s="28"/>
      <c r="D114" s="19">
        <f>TABELE!F50</f>
        <v>40</v>
      </c>
      <c r="E114" s="29" t="s">
        <v>135</v>
      </c>
      <c r="F114" s="20">
        <f>D114</f>
        <v>40</v>
      </c>
      <c r="G114" s="20"/>
      <c r="H114" s="20"/>
    </row>
    <row r="115" spans="1:8" ht="30" customHeight="1" hidden="1">
      <c r="A115" s="29"/>
      <c r="B115" s="29"/>
      <c r="C115" s="30"/>
      <c r="D115" s="144" t="str">
        <f>"RAZEM: "&amp;D93&amp;""</f>
        <v>RAZEM: ELEMENTY ULIC</v>
      </c>
      <c r="E115" s="144"/>
      <c r="F115" s="144"/>
      <c r="G115" s="144"/>
      <c r="H115" s="58">
        <f>IF(SUM(H99,H103,H95)=0," ",SUM(H99,H103,H95))</f>
        <v>1785</v>
      </c>
    </row>
    <row r="116" spans="1:8" ht="30" customHeight="1" hidden="1">
      <c r="A116" s="145" t="s">
        <v>48</v>
      </c>
      <c r="B116" s="145"/>
      <c r="C116" s="145"/>
      <c r="D116" s="145"/>
      <c r="E116" s="145"/>
      <c r="F116" s="145"/>
      <c r="G116" s="145"/>
      <c r="H116" s="59" t="e">
        <f>IF(SUM(H115,#REF!,#REF!,H83,H71,H40,H29)=0," ",SUM(H115,#REF!,#REF!,H83,H71,H40,H29))</f>
        <v>#REF!</v>
      </c>
    </row>
    <row r="117" spans="1:8" ht="30" customHeight="1">
      <c r="A117" s="147" t="s">
        <v>49</v>
      </c>
      <c r="B117" s="147"/>
      <c r="C117" s="147"/>
      <c r="D117" s="147"/>
      <c r="E117" s="147"/>
      <c r="F117" s="147"/>
      <c r="G117" s="147"/>
      <c r="H117" s="147"/>
    </row>
    <row r="118" spans="1:10" s="110" customFormat="1" ht="30" customHeight="1">
      <c r="A118" s="66" t="s">
        <v>28</v>
      </c>
      <c r="B118" s="66" t="s">
        <v>193</v>
      </c>
      <c r="C118" s="82"/>
      <c r="D118" s="66" t="s">
        <v>204</v>
      </c>
      <c r="E118" s="66" t="s">
        <v>28</v>
      </c>
      <c r="F118" s="59" t="s">
        <v>28</v>
      </c>
      <c r="G118" s="66"/>
      <c r="H118" s="66"/>
      <c r="J118" s="120"/>
    </row>
    <row r="119" spans="1:10" s="110" customFormat="1" ht="30" customHeight="1">
      <c r="A119" s="66" t="s">
        <v>28</v>
      </c>
      <c r="B119" s="66" t="s">
        <v>200</v>
      </c>
      <c r="C119" s="82"/>
      <c r="D119" s="66" t="s">
        <v>201</v>
      </c>
      <c r="E119" s="66" t="s">
        <v>28</v>
      </c>
      <c r="F119" s="59" t="s">
        <v>28</v>
      </c>
      <c r="G119" s="66"/>
      <c r="H119" s="66"/>
      <c r="J119" s="120"/>
    </row>
    <row r="120" spans="1:8" ht="30" customHeight="1">
      <c r="A120" s="56" t="s">
        <v>28</v>
      </c>
      <c r="B120" s="56" t="s">
        <v>122</v>
      </c>
      <c r="C120" s="112"/>
      <c r="D120" s="57" t="s">
        <v>423</v>
      </c>
      <c r="E120" s="56" t="s">
        <v>28</v>
      </c>
      <c r="F120" s="69" t="s">
        <v>28</v>
      </c>
      <c r="G120" s="20"/>
      <c r="H120" s="20"/>
    </row>
    <row r="121" spans="1:11" ht="30" customHeight="1">
      <c r="A121" s="12">
        <f>A112+1</f>
        <v>24</v>
      </c>
      <c r="B121" s="12" t="s">
        <v>122</v>
      </c>
      <c r="C121" s="28" t="s">
        <v>199</v>
      </c>
      <c r="D121" s="19" t="s">
        <v>409</v>
      </c>
      <c r="E121" s="29" t="s">
        <v>136</v>
      </c>
      <c r="F121" s="20">
        <f>F123</f>
        <v>8</v>
      </c>
      <c r="G121" s="20"/>
      <c r="H121" s="20"/>
      <c r="J121" s="120" t="s">
        <v>202</v>
      </c>
      <c r="K121" s="21">
        <v>2</v>
      </c>
    </row>
    <row r="122" spans="1:11" ht="25.5">
      <c r="A122" s="12"/>
      <c r="B122" s="12"/>
      <c r="C122" s="28"/>
      <c r="D122" s="19" t="s">
        <v>359</v>
      </c>
      <c r="E122" s="29"/>
      <c r="F122" s="20"/>
      <c r="G122" s="20"/>
      <c r="H122" s="20"/>
      <c r="J122" s="120" t="s">
        <v>197</v>
      </c>
      <c r="K122" s="21">
        <v>4</v>
      </c>
    </row>
    <row r="123" spans="1:8" ht="14.25">
      <c r="A123" s="12"/>
      <c r="B123" s="12"/>
      <c r="C123" s="28"/>
      <c r="D123" s="19" t="str">
        <f>""&amp;K121&amp;"x"&amp;K122&amp;""</f>
        <v>2x4</v>
      </c>
      <c r="E123" s="29" t="s">
        <v>136</v>
      </c>
      <c r="F123" s="20">
        <f>K121*K122</f>
        <v>8</v>
      </c>
      <c r="G123" s="20"/>
      <c r="H123" s="20"/>
    </row>
    <row r="124" spans="1:11" ht="25.5">
      <c r="A124" s="12">
        <f>A121+1</f>
        <v>25</v>
      </c>
      <c r="B124" s="12" t="s">
        <v>122</v>
      </c>
      <c r="C124" s="28" t="s">
        <v>161</v>
      </c>
      <c r="D124" s="19" t="s">
        <v>287</v>
      </c>
      <c r="E124" s="29" t="s">
        <v>12</v>
      </c>
      <c r="F124" s="20">
        <f>SUM(F126)</f>
        <v>24.32</v>
      </c>
      <c r="G124" s="20"/>
      <c r="H124" s="20"/>
      <c r="J124" s="120" t="s">
        <v>203</v>
      </c>
      <c r="K124" s="21">
        <f>19*2</f>
        <v>38</v>
      </c>
    </row>
    <row r="125" spans="1:11" ht="25.5">
      <c r="A125" s="12"/>
      <c r="B125" s="12"/>
      <c r="C125" s="28"/>
      <c r="D125" s="19" t="s">
        <v>379</v>
      </c>
      <c r="E125" s="29"/>
      <c r="F125" s="20"/>
      <c r="G125" s="20"/>
      <c r="H125" s="20"/>
      <c r="J125" s="120" t="s">
        <v>192</v>
      </c>
      <c r="K125" s="21">
        <v>0.32</v>
      </c>
    </row>
    <row r="126" spans="1:8" ht="12.75">
      <c r="A126" s="12"/>
      <c r="B126" s="12"/>
      <c r="C126" s="28"/>
      <c r="D126" s="19" t="str">
        <f>""&amp;K124&amp;"x"&amp;K125&amp;"x"&amp;K121&amp;""</f>
        <v>38x0,32x2</v>
      </c>
      <c r="E126" s="29" t="s">
        <v>12</v>
      </c>
      <c r="F126" s="20">
        <f>K125*K124*K121</f>
        <v>24.32</v>
      </c>
      <c r="G126" s="20"/>
      <c r="H126" s="20"/>
    </row>
    <row r="127" spans="1:11" ht="30" customHeight="1">
      <c r="A127" s="12">
        <f>A124+1</f>
        <v>26</v>
      </c>
      <c r="B127" s="12" t="s">
        <v>122</v>
      </c>
      <c r="C127" s="28" t="s">
        <v>165</v>
      </c>
      <c r="D127" s="19" t="s">
        <v>396</v>
      </c>
      <c r="E127" s="29" t="s">
        <v>14</v>
      </c>
      <c r="F127" s="20">
        <f>SUM(F128:F129)</f>
        <v>1362.1</v>
      </c>
      <c r="G127" s="20"/>
      <c r="H127" s="20"/>
      <c r="J127" s="120" t="s">
        <v>184</v>
      </c>
      <c r="K127" s="21">
        <v>669</v>
      </c>
    </row>
    <row r="128" spans="1:11" ht="12.75">
      <c r="A128" s="12"/>
      <c r="B128" s="12"/>
      <c r="C128" s="28"/>
      <c r="D128" s="19" t="s">
        <v>360</v>
      </c>
      <c r="E128" s="12"/>
      <c r="F128" s="20"/>
      <c r="G128" s="20"/>
      <c r="H128" s="20"/>
      <c r="J128" s="120" t="s">
        <v>196</v>
      </c>
      <c r="K128" s="21">
        <v>1.018</v>
      </c>
    </row>
    <row r="129" spans="1:8" ht="12.75">
      <c r="A129" s="12"/>
      <c r="B129" s="12"/>
      <c r="C129" s="28"/>
      <c r="D129" s="19" t="str">
        <f>""&amp;K127&amp;"x"&amp;K121&amp;"x"&amp;K128&amp;""</f>
        <v>669x2x1,018</v>
      </c>
      <c r="E129" s="29" t="s">
        <v>14</v>
      </c>
      <c r="F129" s="20">
        <f>ROUND(K127*K121*K128,1)</f>
        <v>1362.1</v>
      </c>
      <c r="G129" s="20"/>
      <c r="H129" s="20"/>
    </row>
    <row r="130" spans="1:10" s="110" customFormat="1" ht="30" customHeight="1">
      <c r="A130" s="66" t="s">
        <v>28</v>
      </c>
      <c r="B130" s="66" t="s">
        <v>344</v>
      </c>
      <c r="C130" s="82"/>
      <c r="D130" s="66" t="s">
        <v>345</v>
      </c>
      <c r="E130" s="66" t="s">
        <v>28</v>
      </c>
      <c r="F130" s="59" t="s">
        <v>28</v>
      </c>
      <c r="G130" s="66"/>
      <c r="H130" s="66"/>
      <c r="J130" s="120"/>
    </row>
    <row r="131" spans="1:11" ht="30" customHeight="1">
      <c r="A131" s="12">
        <f>A127+1</f>
        <v>27</v>
      </c>
      <c r="B131" s="12" t="s">
        <v>344</v>
      </c>
      <c r="C131" s="28" t="s">
        <v>346</v>
      </c>
      <c r="D131" s="19" t="s">
        <v>348</v>
      </c>
      <c r="E131" s="12" t="s">
        <v>312</v>
      </c>
      <c r="F131" s="20">
        <f>F133</f>
        <v>1</v>
      </c>
      <c r="G131" s="20">
        <v>1300</v>
      </c>
      <c r="H131" s="20">
        <f>IF(ROUND(F131*G131,2)=0," ",ROUND(F131*G131,2))</f>
        <v>1300</v>
      </c>
      <c r="J131" s="120" t="s">
        <v>349</v>
      </c>
      <c r="K131" s="21">
        <v>4.8</v>
      </c>
    </row>
    <row r="132" spans="1:11" ht="25.5">
      <c r="A132" s="12"/>
      <c r="B132" s="12"/>
      <c r="C132" s="28"/>
      <c r="D132" s="19" t="s">
        <v>348</v>
      </c>
      <c r="E132" s="12"/>
      <c r="F132" s="20"/>
      <c r="G132" s="20"/>
      <c r="H132" s="20"/>
      <c r="J132" s="120" t="s">
        <v>351</v>
      </c>
      <c r="K132" s="21">
        <v>0.7</v>
      </c>
    </row>
    <row r="133" spans="1:11" ht="12.75">
      <c r="A133" s="12"/>
      <c r="B133" s="12"/>
      <c r="C133" s="28"/>
      <c r="D133" s="19">
        <v>1</v>
      </c>
      <c r="E133" s="12" t="s">
        <v>312</v>
      </c>
      <c r="F133" s="20">
        <f>D133</f>
        <v>1</v>
      </c>
      <c r="G133" s="20"/>
      <c r="H133" s="20"/>
      <c r="J133" s="120" t="s">
        <v>350</v>
      </c>
      <c r="K133" s="21">
        <v>1.5</v>
      </c>
    </row>
    <row r="134" spans="1:11" ht="25.5">
      <c r="A134" s="12">
        <f>A131+1</f>
        <v>28</v>
      </c>
      <c r="B134" s="12" t="s">
        <v>344</v>
      </c>
      <c r="C134" s="28" t="s">
        <v>86</v>
      </c>
      <c r="D134" s="19" t="s">
        <v>347</v>
      </c>
      <c r="E134" s="29" t="s">
        <v>136</v>
      </c>
      <c r="F134" s="20">
        <f>SUM(F135:F136)</f>
        <v>1.302</v>
      </c>
      <c r="G134" s="20" t="e">
        <f>#REF!</f>
        <v>#REF!</v>
      </c>
      <c r="H134" s="20" t="e">
        <f>IF(ROUND(F134*G134,2)=0," ",ROUND(F134*G134,2))</f>
        <v>#REF!</v>
      </c>
      <c r="J134" s="120" t="s">
        <v>163</v>
      </c>
      <c r="K134" s="21">
        <v>2</v>
      </c>
    </row>
    <row r="135" spans="1:11" s="31" customFormat="1" ht="38.25">
      <c r="A135" s="12"/>
      <c r="B135" s="12"/>
      <c r="C135" s="28"/>
      <c r="D135" s="19" t="s">
        <v>424</v>
      </c>
      <c r="E135" s="29"/>
      <c r="F135" s="20"/>
      <c r="G135" s="18"/>
      <c r="H135" s="18"/>
      <c r="J135" s="120" t="s">
        <v>192</v>
      </c>
      <c r="K135" s="31">
        <v>0.07</v>
      </c>
    </row>
    <row r="136" spans="1:8" ht="14.25">
      <c r="A136" s="12"/>
      <c r="B136" s="12"/>
      <c r="C136" s="28"/>
      <c r="D136" s="19" t="str">
        <f>"("&amp;K131&amp;"+"&amp;K134&amp;"x"&amp;K132&amp;")x"&amp;K133&amp;"x"&amp;K134&amp;"x"&amp;K135&amp;""</f>
        <v>(4,8+2x0,7)x1,5x2x0,07</v>
      </c>
      <c r="E136" s="29" t="s">
        <v>136</v>
      </c>
      <c r="F136" s="20">
        <f>(K131+K134*K132)*K133*K134*K135</f>
        <v>1.302</v>
      </c>
      <c r="G136" s="20"/>
      <c r="H136" s="20"/>
    </row>
    <row r="137" spans="1:10" s="110" customFormat="1" ht="30" customHeight="1">
      <c r="A137" s="66" t="s">
        <v>28</v>
      </c>
      <c r="B137" s="66" t="s">
        <v>95</v>
      </c>
      <c r="C137" s="82"/>
      <c r="D137" s="66" t="s">
        <v>96</v>
      </c>
      <c r="E137" s="66" t="s">
        <v>28</v>
      </c>
      <c r="F137" s="59" t="s">
        <v>28</v>
      </c>
      <c r="G137" s="66" t="s">
        <v>28</v>
      </c>
      <c r="H137" s="66" t="s">
        <v>28</v>
      </c>
      <c r="J137" s="120"/>
    </row>
    <row r="138" spans="1:10" s="31" customFormat="1" ht="30" customHeight="1">
      <c r="A138" s="18" t="s">
        <v>28</v>
      </c>
      <c r="B138" s="18" t="s">
        <v>205</v>
      </c>
      <c r="C138" s="26"/>
      <c r="D138" s="27" t="s">
        <v>206</v>
      </c>
      <c r="E138" s="18" t="s">
        <v>28</v>
      </c>
      <c r="F138" s="32" t="s">
        <v>28</v>
      </c>
      <c r="G138" s="18" t="s">
        <v>28</v>
      </c>
      <c r="H138" s="18" t="s">
        <v>28</v>
      </c>
      <c r="J138" s="120"/>
    </row>
    <row r="139" spans="1:11" s="31" customFormat="1" ht="30" customHeight="1">
      <c r="A139" s="18" t="s">
        <v>28</v>
      </c>
      <c r="B139" s="18" t="s">
        <v>207</v>
      </c>
      <c r="C139" s="26"/>
      <c r="D139" s="27" t="s">
        <v>208</v>
      </c>
      <c r="E139" s="18" t="s">
        <v>28</v>
      </c>
      <c r="F139" s="32" t="s">
        <v>28</v>
      </c>
      <c r="G139" s="18"/>
      <c r="H139" s="18"/>
      <c r="J139" s="120" t="s">
        <v>141</v>
      </c>
      <c r="K139" s="31">
        <v>1000</v>
      </c>
    </row>
    <row r="140" spans="1:11" s="31" customFormat="1" ht="38.25">
      <c r="A140" s="12">
        <f>A134+1</f>
        <v>29</v>
      </c>
      <c r="B140" s="12" t="s">
        <v>207</v>
      </c>
      <c r="C140" s="28" t="s">
        <v>212</v>
      </c>
      <c r="D140" s="19" t="s">
        <v>370</v>
      </c>
      <c r="E140" s="29" t="s">
        <v>209</v>
      </c>
      <c r="F140" s="20">
        <f>SUM(F141:F142)</f>
        <v>6.68</v>
      </c>
      <c r="G140" s="18"/>
      <c r="H140" s="18"/>
      <c r="J140" s="120" t="s">
        <v>213</v>
      </c>
      <c r="K140" s="31">
        <f>ROUND((K142+K143)*1.018,0)</f>
        <v>6299</v>
      </c>
    </row>
    <row r="141" spans="1:11" s="31" customFormat="1" ht="25.5">
      <c r="A141" s="12"/>
      <c r="B141" s="12"/>
      <c r="C141" s="28"/>
      <c r="D141" s="19" t="s">
        <v>375</v>
      </c>
      <c r="E141" s="29"/>
      <c r="F141" s="20"/>
      <c r="G141" s="18"/>
      <c r="H141" s="18"/>
      <c r="J141" s="120" t="s">
        <v>214</v>
      </c>
      <c r="K141" s="31">
        <v>384</v>
      </c>
    </row>
    <row r="142" spans="1:11" s="31" customFormat="1" ht="12.75">
      <c r="A142" s="12"/>
      <c r="B142" s="12"/>
      <c r="C142" s="28"/>
      <c r="D142" s="19" t="str">
        <f>""&amp;F146&amp;"+"&amp;F143&amp;""</f>
        <v>2,94+3,74</v>
      </c>
      <c r="E142" s="29" t="s">
        <v>209</v>
      </c>
      <c r="F142" s="20">
        <f>F143+F146</f>
        <v>6.68</v>
      </c>
      <c r="G142" s="18"/>
      <c r="H142" s="18"/>
      <c r="J142" s="120" t="s">
        <v>215</v>
      </c>
      <c r="K142" s="31">
        <v>3674.25</v>
      </c>
    </row>
    <row r="143" spans="1:11" s="31" customFormat="1" ht="30" customHeight="1">
      <c r="A143" s="12">
        <f>A140+1</f>
        <v>30</v>
      </c>
      <c r="B143" s="12" t="s">
        <v>207</v>
      </c>
      <c r="C143" s="28" t="s">
        <v>94</v>
      </c>
      <c r="D143" s="19" t="s">
        <v>249</v>
      </c>
      <c r="E143" s="29" t="s">
        <v>209</v>
      </c>
      <c r="F143" s="20">
        <f>F145</f>
        <v>3.74</v>
      </c>
      <c r="G143" s="18"/>
      <c r="H143" s="18"/>
      <c r="J143" s="120" t="s">
        <v>216</v>
      </c>
      <c r="K143" s="31">
        <v>2513</v>
      </c>
    </row>
    <row r="144" spans="1:11" s="31" customFormat="1" ht="76.5">
      <c r="A144" s="12"/>
      <c r="B144" s="12"/>
      <c r="C144" s="28"/>
      <c r="D144" s="19" t="s">
        <v>288</v>
      </c>
      <c r="E144" s="29"/>
      <c r="F144" s="20"/>
      <c r="G144" s="18"/>
      <c r="H144" s="18"/>
      <c r="J144" s="120" t="s">
        <v>217</v>
      </c>
      <c r="K144" s="31">
        <v>1.018</v>
      </c>
    </row>
    <row r="145" spans="1:10" s="31" customFormat="1" ht="12.75">
      <c r="A145" s="12"/>
      <c r="B145" s="12"/>
      <c r="C145" s="28"/>
      <c r="D145" s="19" t="str">
        <f>"("&amp;K142&amp;"x"&amp;K144&amp;")/"&amp;K139&amp;""</f>
        <v>(3674,25x1,018)/1000</v>
      </c>
      <c r="E145" s="29" t="s">
        <v>209</v>
      </c>
      <c r="F145" s="20">
        <f>ROUND(K142*K144/K139,2)</f>
        <v>3.74</v>
      </c>
      <c r="G145" s="18"/>
      <c r="H145" s="18"/>
      <c r="J145" s="120"/>
    </row>
    <row r="146" spans="1:10" s="31" customFormat="1" ht="25.5">
      <c r="A146" s="12">
        <f>A143+1</f>
        <v>31</v>
      </c>
      <c r="B146" s="12" t="s">
        <v>207</v>
      </c>
      <c r="C146" s="28" t="s">
        <v>218</v>
      </c>
      <c r="D146" s="19" t="s">
        <v>289</v>
      </c>
      <c r="E146" s="29" t="s">
        <v>209</v>
      </c>
      <c r="F146" s="20">
        <f>F148</f>
        <v>2.94</v>
      </c>
      <c r="G146" s="18"/>
      <c r="H146" s="18"/>
      <c r="J146" s="120"/>
    </row>
    <row r="147" spans="1:10" s="31" customFormat="1" ht="38.25">
      <c r="A147" s="12"/>
      <c r="B147" s="12"/>
      <c r="C147" s="28"/>
      <c r="D147" s="19" t="s">
        <v>371</v>
      </c>
      <c r="E147" s="29"/>
      <c r="F147" s="20"/>
      <c r="G147" s="18"/>
      <c r="H147" s="18"/>
      <c r="J147" s="120"/>
    </row>
    <row r="148" spans="1:13" s="31" customFormat="1" ht="12.75">
      <c r="A148" s="12"/>
      <c r="B148" s="12"/>
      <c r="C148" s="28"/>
      <c r="D148" s="19" t="str">
        <f>"("&amp;K143&amp;"x"&amp;K144&amp;")/"&amp;K139&amp;"+"&amp;K141&amp;"/"&amp;K139&amp;""</f>
        <v>(2513x1,018)/1000+384/1000</v>
      </c>
      <c r="E148" s="29" t="s">
        <v>209</v>
      </c>
      <c r="F148" s="20">
        <f>ROUND(K143*K144/K139+K141/K139,2)</f>
        <v>2.94</v>
      </c>
      <c r="G148" s="18"/>
      <c r="H148" s="18"/>
      <c r="J148" s="121"/>
      <c r="K148" s="113" t="s">
        <v>248</v>
      </c>
      <c r="L148" s="114" t="s">
        <v>203</v>
      </c>
      <c r="M148" s="114" t="s">
        <v>164</v>
      </c>
    </row>
    <row r="149" spans="1:13" s="31" customFormat="1" ht="25.5">
      <c r="A149" s="12">
        <f>A146+1</f>
        <v>32</v>
      </c>
      <c r="B149" s="12" t="s">
        <v>207</v>
      </c>
      <c r="C149" s="28" t="s">
        <v>210</v>
      </c>
      <c r="D149" s="19" t="s">
        <v>211</v>
      </c>
      <c r="E149" s="29" t="s">
        <v>135</v>
      </c>
      <c r="F149" s="20">
        <f>SUM(F151:F151)</f>
        <v>76</v>
      </c>
      <c r="G149" s="18"/>
      <c r="H149" s="18"/>
      <c r="J149" s="120" t="s">
        <v>290</v>
      </c>
      <c r="K149" s="31">
        <v>1.48</v>
      </c>
      <c r="L149" s="31">
        <v>3</v>
      </c>
      <c r="M149" s="31">
        <v>10.65</v>
      </c>
    </row>
    <row r="150" spans="1:13" s="31" customFormat="1" ht="114.75">
      <c r="A150" s="12"/>
      <c r="B150" s="12"/>
      <c r="C150" s="28"/>
      <c r="D150" s="19" t="s">
        <v>386</v>
      </c>
      <c r="E150" s="29"/>
      <c r="F150" s="20"/>
      <c r="G150" s="18"/>
      <c r="H150" s="18"/>
      <c r="J150" s="120" t="s">
        <v>245</v>
      </c>
      <c r="K150" s="31">
        <v>0.91</v>
      </c>
      <c r="L150" s="31">
        <v>12</v>
      </c>
      <c r="M150" s="31">
        <v>1.63</v>
      </c>
    </row>
    <row r="151" spans="1:14" s="31" customFormat="1" ht="25.5">
      <c r="A151" s="12"/>
      <c r="B151" s="12"/>
      <c r="C151" s="28"/>
      <c r="D151" s="19" t="str">
        <f>""&amp;K149&amp;"x"&amp;L149&amp;"x"&amp;M149&amp;"+"&amp;K150&amp;"x"&amp;L150&amp;"x"&amp;M150&amp;"+"&amp;K153&amp;"x"&amp;L153&amp;"x"&amp;M153&amp;"+"&amp;K151&amp;"x"&amp;L151&amp;"x"&amp;M151&amp;"x"&amp;N151&amp;"+"&amp;K152&amp;"x"&amp;L152&amp;"x"&amp;M152&amp;"x"&amp;N152&amp;""</f>
        <v>1,48x3x10,65+0,91x12x1,63+0,3x3x10,65+2x12x0,413x0,077+2x24x0,172x0,077</v>
      </c>
      <c r="E151" s="29" t="s">
        <v>135</v>
      </c>
      <c r="F151" s="20">
        <f>ROUND(K149*L149*M149+K150*L150*M150+K153*L153*M153+K151*L151*M151*N151+K152*L152*M152*N152,0)</f>
        <v>76</v>
      </c>
      <c r="G151" s="18"/>
      <c r="H151" s="18"/>
      <c r="J151" s="120" t="s">
        <v>246</v>
      </c>
      <c r="K151" s="31">
        <v>2</v>
      </c>
      <c r="L151" s="31">
        <v>12</v>
      </c>
      <c r="M151" s="31">
        <v>0.413</v>
      </c>
      <c r="N151" s="31">
        <v>0.077</v>
      </c>
    </row>
    <row r="152" spans="1:14" s="110" customFormat="1" ht="30" customHeight="1">
      <c r="A152" s="66" t="s">
        <v>28</v>
      </c>
      <c r="B152" s="66" t="s">
        <v>219</v>
      </c>
      <c r="C152" s="82"/>
      <c r="D152" s="66" t="s">
        <v>220</v>
      </c>
      <c r="E152" s="66" t="s">
        <v>28</v>
      </c>
      <c r="F152" s="59" t="s">
        <v>28</v>
      </c>
      <c r="G152" s="66"/>
      <c r="H152" s="66"/>
      <c r="J152" s="120" t="s">
        <v>247</v>
      </c>
      <c r="K152" s="110">
        <v>2</v>
      </c>
      <c r="L152" s="110">
        <f>8+16</f>
        <v>24</v>
      </c>
      <c r="M152" s="110">
        <v>0.172</v>
      </c>
      <c r="N152" s="110">
        <v>0.077</v>
      </c>
    </row>
    <row r="153" spans="1:13" s="31" customFormat="1" ht="25.5">
      <c r="A153" s="18" t="s">
        <v>28</v>
      </c>
      <c r="B153" s="18" t="s">
        <v>221</v>
      </c>
      <c r="C153" s="18"/>
      <c r="D153" s="27" t="s">
        <v>222</v>
      </c>
      <c r="E153" s="18" t="s">
        <v>28</v>
      </c>
      <c r="F153" s="32" t="s">
        <v>28</v>
      </c>
      <c r="G153" s="18"/>
      <c r="H153" s="18"/>
      <c r="J153" s="120" t="s">
        <v>291</v>
      </c>
      <c r="K153" s="31">
        <f>0.25+0.025+0.025</f>
        <v>0.30000000000000004</v>
      </c>
      <c r="L153" s="31">
        <v>3</v>
      </c>
      <c r="M153" s="31">
        <v>10.65</v>
      </c>
    </row>
    <row r="154" spans="1:11" s="31" customFormat="1" ht="25.5">
      <c r="A154" s="12">
        <f>A149+1</f>
        <v>33</v>
      </c>
      <c r="B154" s="12" t="s">
        <v>221</v>
      </c>
      <c r="C154" s="28" t="s">
        <v>123</v>
      </c>
      <c r="D154" s="19" t="s">
        <v>224</v>
      </c>
      <c r="E154" s="29" t="s">
        <v>136</v>
      </c>
      <c r="F154" s="20">
        <f>SUM(F156)</f>
        <v>10.7</v>
      </c>
      <c r="G154" s="18"/>
      <c r="H154" s="18"/>
      <c r="J154" s="120" t="s">
        <v>197</v>
      </c>
      <c r="K154" s="31">
        <v>10.7</v>
      </c>
    </row>
    <row r="155" spans="1:10" s="31" customFormat="1" ht="12.75">
      <c r="A155" s="12"/>
      <c r="B155" s="12"/>
      <c r="C155" s="28"/>
      <c r="D155" s="19" t="s">
        <v>286</v>
      </c>
      <c r="E155" s="29"/>
      <c r="F155" s="20"/>
      <c r="G155" s="18"/>
      <c r="H155" s="18"/>
      <c r="J155" s="120"/>
    </row>
    <row r="156" spans="1:10" s="31" customFormat="1" ht="14.25">
      <c r="A156" s="12"/>
      <c r="B156" s="12"/>
      <c r="C156" s="28"/>
      <c r="D156" s="19">
        <f>K154</f>
        <v>10.7</v>
      </c>
      <c r="E156" s="29" t="s">
        <v>136</v>
      </c>
      <c r="F156" s="20">
        <f>D156</f>
        <v>10.7</v>
      </c>
      <c r="G156" s="18"/>
      <c r="H156" s="18"/>
      <c r="J156" s="120"/>
    </row>
    <row r="157" spans="1:11" s="31" customFormat="1" ht="30" customHeight="1">
      <c r="A157" s="12">
        <f>A154+1</f>
        <v>34</v>
      </c>
      <c r="B157" s="12" t="s">
        <v>221</v>
      </c>
      <c r="C157" s="28" t="s">
        <v>166</v>
      </c>
      <c r="D157" s="19" t="s">
        <v>223</v>
      </c>
      <c r="E157" s="29" t="s">
        <v>14</v>
      </c>
      <c r="F157" s="20">
        <f>F159</f>
        <v>2627</v>
      </c>
      <c r="G157" s="18"/>
      <c r="H157" s="18"/>
      <c r="J157" s="120" t="s">
        <v>184</v>
      </c>
      <c r="K157" s="31">
        <v>2588.6</v>
      </c>
    </row>
    <row r="158" spans="1:11" s="31" customFormat="1" ht="25.5">
      <c r="A158" s="12"/>
      <c r="B158" s="12"/>
      <c r="C158" s="28"/>
      <c r="D158" s="19" t="s">
        <v>285</v>
      </c>
      <c r="E158" s="29"/>
      <c r="F158" s="20"/>
      <c r="G158" s="18"/>
      <c r="H158" s="18"/>
      <c r="J158" s="120" t="s">
        <v>196</v>
      </c>
      <c r="K158" s="31">
        <v>1.015</v>
      </c>
    </row>
    <row r="159" spans="1:10" s="31" customFormat="1" ht="12.75">
      <c r="A159" s="18"/>
      <c r="B159" s="18"/>
      <c r="C159" s="26"/>
      <c r="D159" s="19" t="str">
        <f>""&amp;K157&amp;"x"&amp;K158&amp;""</f>
        <v>2588,6x1,015</v>
      </c>
      <c r="E159" s="29" t="s">
        <v>14</v>
      </c>
      <c r="F159" s="20">
        <f>ROUND(K157*K158,0)</f>
        <v>2627</v>
      </c>
      <c r="G159" s="18"/>
      <c r="H159" s="18"/>
      <c r="J159" s="120"/>
    </row>
    <row r="160" spans="1:11" s="31" customFormat="1" ht="30" customHeight="1" hidden="1">
      <c r="A160" s="29"/>
      <c r="B160" s="29"/>
      <c r="C160" s="30"/>
      <c r="D160" s="144" t="str">
        <f>"RAZEM: "&amp;D137&amp;""</f>
        <v>RAZEM: USTROJE NOŚNE</v>
      </c>
      <c r="E160" s="144"/>
      <c r="F160" s="144"/>
      <c r="G160" s="144"/>
      <c r="H160" s="58" t="e">
        <f>IF(SUM(#REF!,#REF!,#REF!)=0," ",SUM(#REF!,#REF!,#REF!))</f>
        <v>#REF!</v>
      </c>
      <c r="J160" s="120" t="s">
        <v>187</v>
      </c>
      <c r="K160" s="31">
        <v>1.1</v>
      </c>
    </row>
    <row r="161" spans="1:10" s="31" customFormat="1" ht="30" customHeight="1" hidden="1">
      <c r="A161" s="29"/>
      <c r="B161" s="34"/>
      <c r="C161" s="35"/>
      <c r="D161" s="144" t="e">
        <f>"RAZEM: "&amp;#REF!&amp;""</f>
        <v>#REF!</v>
      </c>
      <c r="E161" s="144"/>
      <c r="F161" s="144"/>
      <c r="G161" s="144"/>
      <c r="H161" s="58" t="e">
        <f>IF(SUM(#REF!,#REF!,#REF!)=0," ",SUM(#REF!,#REF!,#REF!))</f>
        <v>#REF!</v>
      </c>
      <c r="J161" s="120"/>
    </row>
    <row r="162" spans="1:10" s="110" customFormat="1" ht="30" customHeight="1">
      <c r="A162" s="66" t="s">
        <v>28</v>
      </c>
      <c r="B162" s="66" t="s">
        <v>167</v>
      </c>
      <c r="C162" s="82"/>
      <c r="D162" s="66" t="s">
        <v>168</v>
      </c>
      <c r="E162" s="66" t="s">
        <v>28</v>
      </c>
      <c r="F162" s="59" t="s">
        <v>28</v>
      </c>
      <c r="G162" s="66" t="s">
        <v>28</v>
      </c>
      <c r="H162" s="66" t="s">
        <v>28</v>
      </c>
      <c r="J162" s="120"/>
    </row>
    <row r="163" spans="1:11" s="31" customFormat="1" ht="30" customHeight="1">
      <c r="A163" s="18" t="s">
        <v>28</v>
      </c>
      <c r="B163" s="18" t="s">
        <v>170</v>
      </c>
      <c r="C163" s="26"/>
      <c r="D163" s="27" t="s">
        <v>169</v>
      </c>
      <c r="E163" s="18" t="s">
        <v>28</v>
      </c>
      <c r="F163" s="32" t="s">
        <v>28</v>
      </c>
      <c r="G163" s="18" t="s">
        <v>28</v>
      </c>
      <c r="H163" s="18" t="s">
        <v>28</v>
      </c>
      <c r="J163" s="120" t="s">
        <v>163</v>
      </c>
      <c r="K163" s="21">
        <v>2</v>
      </c>
    </row>
    <row r="164" spans="1:11" s="31" customFormat="1" ht="30" customHeight="1">
      <c r="A164" s="12">
        <f>A157+1</f>
        <v>35</v>
      </c>
      <c r="B164" s="12" t="s">
        <v>170</v>
      </c>
      <c r="C164" s="28" t="s">
        <v>50</v>
      </c>
      <c r="D164" s="19" t="s">
        <v>397</v>
      </c>
      <c r="E164" s="29" t="s">
        <v>136</v>
      </c>
      <c r="F164" s="20">
        <f>F166</f>
        <v>0.478</v>
      </c>
      <c r="G164" s="20">
        <v>10000</v>
      </c>
      <c r="H164" s="20">
        <f>IF(ROUND(F164*G164,2)=0," ",ROUND(F164*G164,2))</f>
        <v>4780</v>
      </c>
      <c r="J164" s="120" t="s">
        <v>181</v>
      </c>
      <c r="K164" s="31">
        <v>0.5</v>
      </c>
    </row>
    <row r="165" spans="1:11" s="31" customFormat="1" ht="12.75">
      <c r="A165" s="12"/>
      <c r="B165" s="12"/>
      <c r="C165" s="28"/>
      <c r="D165" s="19" t="s">
        <v>97</v>
      </c>
      <c r="E165" s="12"/>
      <c r="F165" s="20"/>
      <c r="G165" s="12"/>
      <c r="H165" s="12"/>
      <c r="J165" s="120" t="s">
        <v>182</v>
      </c>
      <c r="K165" s="31">
        <v>0.04</v>
      </c>
    </row>
    <row r="166" spans="1:11" s="31" customFormat="1" ht="14.25">
      <c r="A166" s="12"/>
      <c r="B166" s="12"/>
      <c r="C166" s="28"/>
      <c r="D166" s="19" t="str">
        <f>""&amp;K164&amp;"x"&amp;K165&amp;"x"&amp;K166&amp;"x"&amp;K163&amp;""</f>
        <v>0,5x0,04x11,95x2</v>
      </c>
      <c r="E166" s="29" t="s">
        <v>136</v>
      </c>
      <c r="F166" s="20">
        <f>K164*K165*K166*K163</f>
        <v>0.478</v>
      </c>
      <c r="G166" s="12"/>
      <c r="H166" s="12"/>
      <c r="J166" s="120" t="s">
        <v>280</v>
      </c>
      <c r="K166" s="31">
        <v>11.95</v>
      </c>
    </row>
    <row r="167" spans="1:10" s="31" customFormat="1" ht="30" customHeight="1">
      <c r="A167" s="12">
        <f>A164+1</f>
        <v>36</v>
      </c>
      <c r="B167" s="12" t="s">
        <v>170</v>
      </c>
      <c r="C167" s="28" t="s">
        <v>77</v>
      </c>
      <c r="D167" s="19" t="s">
        <v>387</v>
      </c>
      <c r="E167" s="29" t="s">
        <v>136</v>
      </c>
      <c r="F167" s="20">
        <f>F168</f>
        <v>0.478</v>
      </c>
      <c r="G167" s="20">
        <v>3000</v>
      </c>
      <c r="H167" s="20">
        <f>IF(ROUND(F167*G167,2)=0," ",ROUND(F167*G167,2))</f>
        <v>1434</v>
      </c>
      <c r="J167" s="120"/>
    </row>
    <row r="168" spans="1:10" s="31" customFormat="1" ht="14.25">
      <c r="A168" s="12"/>
      <c r="B168" s="12"/>
      <c r="C168" s="28"/>
      <c r="D168" s="19" t="str">
        <f>"poz."&amp;A164&amp;""</f>
        <v>poz.35</v>
      </c>
      <c r="E168" s="29" t="s">
        <v>136</v>
      </c>
      <c r="F168" s="20">
        <f>F166</f>
        <v>0.478</v>
      </c>
      <c r="G168" s="20"/>
      <c r="H168" s="20"/>
      <c r="J168" s="120"/>
    </row>
    <row r="169" spans="1:11" s="31" customFormat="1" ht="30" customHeight="1">
      <c r="A169" s="12">
        <f>A167+1</f>
        <v>37</v>
      </c>
      <c r="B169" s="12" t="s">
        <v>170</v>
      </c>
      <c r="C169" s="28" t="s">
        <v>98</v>
      </c>
      <c r="D169" s="19" t="s">
        <v>195</v>
      </c>
      <c r="E169" s="29" t="s">
        <v>136</v>
      </c>
      <c r="F169" s="20">
        <f>F171</f>
        <v>3.7</v>
      </c>
      <c r="G169" s="20">
        <v>900</v>
      </c>
      <c r="H169" s="20">
        <f>IF(ROUND(F169*G169,2)=0," ",ROUND(F169*G169,2))</f>
        <v>3330</v>
      </c>
      <c r="J169" s="120" t="s">
        <v>281</v>
      </c>
      <c r="K169" s="31">
        <v>3.7</v>
      </c>
    </row>
    <row r="170" spans="1:10" s="31" customFormat="1" ht="25.5">
      <c r="A170" s="12"/>
      <c r="B170" s="12"/>
      <c r="C170" s="28"/>
      <c r="D170" s="19" t="s">
        <v>282</v>
      </c>
      <c r="E170" s="29"/>
      <c r="F170" s="20"/>
      <c r="G170" s="20"/>
      <c r="H170" s="20"/>
      <c r="J170" s="120"/>
    </row>
    <row r="171" spans="1:10" s="31" customFormat="1" ht="14.25">
      <c r="A171" s="12"/>
      <c r="B171" s="12"/>
      <c r="C171" s="28"/>
      <c r="D171" s="19" t="str">
        <f>""&amp;K169&amp;""</f>
        <v>3,7</v>
      </c>
      <c r="E171" s="29" t="s">
        <v>136</v>
      </c>
      <c r="F171" s="20">
        <f>K169</f>
        <v>3.7</v>
      </c>
      <c r="G171" s="20"/>
      <c r="H171" s="20"/>
      <c r="J171" s="120"/>
    </row>
    <row r="172" spans="1:11" s="31" customFormat="1" ht="30" customHeight="1">
      <c r="A172" s="12">
        <f>A169+1</f>
        <v>38</v>
      </c>
      <c r="B172" s="12" t="s">
        <v>170</v>
      </c>
      <c r="C172" s="28" t="s">
        <v>129</v>
      </c>
      <c r="D172" s="19" t="s">
        <v>69</v>
      </c>
      <c r="E172" s="29" t="s">
        <v>14</v>
      </c>
      <c r="F172" s="20">
        <f>F174</f>
        <v>182</v>
      </c>
      <c r="G172" s="20">
        <v>15.2</v>
      </c>
      <c r="H172" s="20">
        <f>IF(ROUND(F172*G172,2)=0," ",ROUND(F172*G172,2))</f>
        <v>2766.4</v>
      </c>
      <c r="J172" s="120" t="s">
        <v>183</v>
      </c>
      <c r="K172" s="31">
        <v>181.89</v>
      </c>
    </row>
    <row r="173" spans="1:10" s="31" customFormat="1" ht="25.5">
      <c r="A173" s="12"/>
      <c r="B173" s="12"/>
      <c r="C173" s="28"/>
      <c r="D173" s="19" t="s">
        <v>283</v>
      </c>
      <c r="E173" s="29"/>
      <c r="F173" s="20"/>
      <c r="G173" s="20"/>
      <c r="H173" s="20"/>
      <c r="J173" s="120"/>
    </row>
    <row r="174" spans="1:10" s="31" customFormat="1" ht="12.75">
      <c r="A174" s="12"/>
      <c r="B174" s="12"/>
      <c r="C174" s="28"/>
      <c r="D174" s="19" t="str">
        <f>""&amp;K172&amp;""</f>
        <v>181,89</v>
      </c>
      <c r="E174" s="29" t="s">
        <v>14</v>
      </c>
      <c r="F174" s="20">
        <f>ROUND(K172,0)</f>
        <v>182</v>
      </c>
      <c r="G174" s="20"/>
      <c r="H174" s="20"/>
      <c r="J174" s="120"/>
    </row>
    <row r="175" spans="1:11" s="31" customFormat="1" ht="30" customHeight="1">
      <c r="A175" s="12">
        <f>A172+1</f>
        <v>39</v>
      </c>
      <c r="B175" s="12" t="s">
        <v>170</v>
      </c>
      <c r="C175" s="28" t="s">
        <v>165</v>
      </c>
      <c r="D175" s="19" t="s">
        <v>372</v>
      </c>
      <c r="E175" s="29" t="s">
        <v>14</v>
      </c>
      <c r="F175" s="20">
        <f>F177</f>
        <v>475</v>
      </c>
      <c r="G175" s="20">
        <v>4.62</v>
      </c>
      <c r="H175" s="20">
        <f>IF(ROUND(F175*G175,2)=0," ",ROUND(F175*G175,2))</f>
        <v>2194.5</v>
      </c>
      <c r="J175" s="120" t="s">
        <v>196</v>
      </c>
      <c r="K175" s="31">
        <v>1.018</v>
      </c>
    </row>
    <row r="176" spans="1:11" s="31" customFormat="1" ht="30" customHeight="1">
      <c r="A176" s="12"/>
      <c r="B176" s="12"/>
      <c r="C176" s="28"/>
      <c r="D176" s="19" t="s">
        <v>284</v>
      </c>
      <c r="E176" s="29"/>
      <c r="F176" s="20"/>
      <c r="G176" s="20"/>
      <c r="H176" s="20"/>
      <c r="J176" s="120" t="s">
        <v>184</v>
      </c>
      <c r="K176" s="31">
        <v>467</v>
      </c>
    </row>
    <row r="177" spans="1:10" s="31" customFormat="1" ht="12.75">
      <c r="A177" s="12"/>
      <c r="B177" s="12"/>
      <c r="C177" s="28"/>
      <c r="D177" s="19" t="str">
        <f>""&amp;K176&amp;"x"&amp;K175&amp;""</f>
        <v>467x1,018</v>
      </c>
      <c r="E177" s="29" t="s">
        <v>14</v>
      </c>
      <c r="F177" s="20">
        <f>ROUND((K176+K177)*K175,0)</f>
        <v>475</v>
      </c>
      <c r="G177" s="20"/>
      <c r="H177" s="20"/>
      <c r="J177" s="120"/>
    </row>
    <row r="178" spans="1:10" s="31" customFormat="1" ht="30" customHeight="1" hidden="1">
      <c r="A178" s="29"/>
      <c r="B178" s="34"/>
      <c r="C178" s="35"/>
      <c r="D178" s="144" t="str">
        <f>"RAZEM: "&amp;D162&amp;""</f>
        <v>RAZEM: KAPY CHODNIKOWE</v>
      </c>
      <c r="E178" s="144"/>
      <c r="F178" s="144"/>
      <c r="G178" s="144"/>
      <c r="H178" s="58">
        <f>IF(SUM(H164,H167,H169,H172,H175)=0," ",SUM(H164,H167,H169,H172,H175))</f>
        <v>14504.9</v>
      </c>
      <c r="J178" s="120"/>
    </row>
    <row r="179" spans="1:10" s="31" customFormat="1" ht="30" customHeight="1" hidden="1">
      <c r="A179" s="29"/>
      <c r="B179" s="34"/>
      <c r="C179" s="35"/>
      <c r="D179" s="144" t="e">
        <f>"RAZEM: "&amp;#REF!&amp;""</f>
        <v>#REF!</v>
      </c>
      <c r="E179" s="144"/>
      <c r="F179" s="144"/>
      <c r="G179" s="144"/>
      <c r="H179" s="58" t="e">
        <f>IF(SUM(#REF!,#REF!)=0," ",SUM(#REF!,#REF!))</f>
        <v>#REF!</v>
      </c>
      <c r="J179" s="120"/>
    </row>
    <row r="180" spans="1:10" s="31" customFormat="1" ht="30" customHeight="1" hidden="1">
      <c r="A180" s="29"/>
      <c r="B180" s="34"/>
      <c r="C180" s="35"/>
      <c r="D180" s="144" t="e">
        <f>"RAZEM: "&amp;#REF!&amp;""</f>
        <v>#REF!</v>
      </c>
      <c r="E180" s="144"/>
      <c r="F180" s="144"/>
      <c r="G180" s="144"/>
      <c r="H180" s="58" t="e">
        <f>IF(SUM(#REF!)=0," ",SUM(#REF!))</f>
        <v>#REF!</v>
      </c>
      <c r="J180" s="120"/>
    </row>
    <row r="181" spans="1:10" s="110" customFormat="1" ht="30" customHeight="1">
      <c r="A181" s="66" t="s">
        <v>28</v>
      </c>
      <c r="B181" s="66" t="s">
        <v>361</v>
      </c>
      <c r="C181" s="82"/>
      <c r="D181" s="66" t="s">
        <v>362</v>
      </c>
      <c r="E181" s="66" t="s">
        <v>28</v>
      </c>
      <c r="F181" s="59" t="s">
        <v>28</v>
      </c>
      <c r="G181" s="66"/>
      <c r="H181" s="66"/>
      <c r="J181" s="120"/>
    </row>
    <row r="182" spans="1:10" s="31" customFormat="1" ht="30" customHeight="1">
      <c r="A182" s="18" t="s">
        <v>28</v>
      </c>
      <c r="B182" s="18" t="s">
        <v>363</v>
      </c>
      <c r="C182" s="26"/>
      <c r="D182" s="27" t="s">
        <v>364</v>
      </c>
      <c r="E182" s="18" t="s">
        <v>28</v>
      </c>
      <c r="F182" s="32" t="s">
        <v>28</v>
      </c>
      <c r="G182" s="20"/>
      <c r="H182" s="20"/>
      <c r="J182" s="120"/>
    </row>
    <row r="183" spans="1:11" s="31" customFormat="1" ht="30" customHeight="1">
      <c r="A183" s="12">
        <f>A175+1</f>
        <v>40</v>
      </c>
      <c r="B183" s="12" t="s">
        <v>363</v>
      </c>
      <c r="C183" s="28" t="s">
        <v>77</v>
      </c>
      <c r="D183" s="19" t="s">
        <v>368</v>
      </c>
      <c r="E183" s="29" t="s">
        <v>134</v>
      </c>
      <c r="F183" s="20">
        <f>F185</f>
        <v>2</v>
      </c>
      <c r="G183" s="20"/>
      <c r="H183" s="20"/>
      <c r="J183" s="120" t="s">
        <v>366</v>
      </c>
      <c r="K183" s="31">
        <v>2</v>
      </c>
    </row>
    <row r="184" spans="1:10" s="31" customFormat="1" ht="30" customHeight="1">
      <c r="A184" s="12"/>
      <c r="B184" s="12"/>
      <c r="C184" s="28"/>
      <c r="D184" s="19" t="s">
        <v>365</v>
      </c>
      <c r="E184" s="29"/>
      <c r="F184" s="20"/>
      <c r="G184" s="20"/>
      <c r="H184" s="20"/>
      <c r="J184" s="120"/>
    </row>
    <row r="185" spans="1:10" s="31" customFormat="1" ht="12.75">
      <c r="A185" s="12"/>
      <c r="B185" s="12"/>
      <c r="C185" s="28"/>
      <c r="D185" s="19">
        <f>K183</f>
        <v>2</v>
      </c>
      <c r="E185" s="29" t="s">
        <v>134</v>
      </c>
      <c r="F185" s="20">
        <f>D185</f>
        <v>2</v>
      </c>
      <c r="G185" s="20"/>
      <c r="H185" s="20"/>
      <c r="J185" s="120"/>
    </row>
    <row r="186" spans="1:10" s="31" customFormat="1" ht="30" customHeight="1">
      <c r="A186" s="12">
        <f>A183+1</f>
        <v>41</v>
      </c>
      <c r="B186" s="12" t="s">
        <v>363</v>
      </c>
      <c r="C186" s="28" t="s">
        <v>94</v>
      </c>
      <c r="D186" s="19" t="s">
        <v>367</v>
      </c>
      <c r="E186" s="29" t="s">
        <v>14</v>
      </c>
      <c r="F186" s="20">
        <f>F188</f>
        <v>404</v>
      </c>
      <c r="G186" s="20"/>
      <c r="H186" s="20"/>
      <c r="J186" s="120"/>
    </row>
    <row r="187" spans="1:11" s="31" customFormat="1" ht="38.25">
      <c r="A187" s="12"/>
      <c r="B187" s="12"/>
      <c r="C187" s="28"/>
      <c r="D187" s="19" t="s">
        <v>376</v>
      </c>
      <c r="E187" s="29"/>
      <c r="F187" s="20"/>
      <c r="G187" s="20"/>
      <c r="H187" s="20"/>
      <c r="J187" s="120" t="s">
        <v>369</v>
      </c>
      <c r="K187" s="31">
        <v>202</v>
      </c>
    </row>
    <row r="188" spans="1:10" s="31" customFormat="1" ht="12.75">
      <c r="A188" s="12"/>
      <c r="B188" s="12"/>
      <c r="C188" s="28"/>
      <c r="D188" s="19" t="str">
        <f>""&amp;K187&amp;"x"&amp;K183&amp;""</f>
        <v>202x2</v>
      </c>
      <c r="E188" s="29" t="s">
        <v>14</v>
      </c>
      <c r="F188" s="20">
        <f>K187*K183</f>
        <v>404</v>
      </c>
      <c r="G188" s="20"/>
      <c r="H188" s="20"/>
      <c r="J188" s="120"/>
    </row>
    <row r="189" spans="1:10" s="110" customFormat="1" ht="30" customHeight="1">
      <c r="A189" s="66" t="s">
        <v>28</v>
      </c>
      <c r="B189" s="66" t="s">
        <v>126</v>
      </c>
      <c r="C189" s="82"/>
      <c r="D189" s="66" t="s">
        <v>127</v>
      </c>
      <c r="E189" s="66" t="s">
        <v>28</v>
      </c>
      <c r="F189" s="59" t="s">
        <v>28</v>
      </c>
      <c r="G189" s="66" t="s">
        <v>28</v>
      </c>
      <c r="H189" s="66" t="s">
        <v>28</v>
      </c>
      <c r="J189" s="120"/>
    </row>
    <row r="190" spans="1:10" s="31" customFormat="1" ht="30" customHeight="1">
      <c r="A190" s="18" t="s">
        <v>28</v>
      </c>
      <c r="B190" s="18" t="s">
        <v>194</v>
      </c>
      <c r="C190" s="26"/>
      <c r="D190" s="27" t="s">
        <v>225</v>
      </c>
      <c r="E190" s="18" t="s">
        <v>28</v>
      </c>
      <c r="F190" s="32" t="s">
        <v>28</v>
      </c>
      <c r="G190" s="20" t="s">
        <v>28</v>
      </c>
      <c r="H190" s="20" t="s">
        <v>28</v>
      </c>
      <c r="J190" s="120"/>
    </row>
    <row r="191" spans="1:11" s="31" customFormat="1" ht="30" customHeight="1">
      <c r="A191" s="12">
        <f>A186+1</f>
        <v>42</v>
      </c>
      <c r="B191" s="12" t="s">
        <v>194</v>
      </c>
      <c r="C191" s="28" t="s">
        <v>77</v>
      </c>
      <c r="D191" s="19" t="s">
        <v>226</v>
      </c>
      <c r="E191" s="29" t="s">
        <v>12</v>
      </c>
      <c r="F191" s="20">
        <f>F193</f>
        <v>6</v>
      </c>
      <c r="G191" s="20">
        <v>2500</v>
      </c>
      <c r="H191" s="20">
        <f>IF(ROUND(F191*G191,2)=0," ",ROUND(F191*G191,2))</f>
        <v>15000</v>
      </c>
      <c r="J191" s="120" t="s">
        <v>180</v>
      </c>
      <c r="K191" s="31">
        <v>3</v>
      </c>
    </row>
    <row r="192" spans="1:11" s="31" customFormat="1" ht="30" customHeight="1">
      <c r="A192" s="12"/>
      <c r="B192" s="12"/>
      <c r="C192" s="28"/>
      <c r="D192" s="19" t="s">
        <v>226</v>
      </c>
      <c r="E192" s="29"/>
      <c r="F192" s="20"/>
      <c r="G192" s="20"/>
      <c r="H192" s="20"/>
      <c r="J192" s="120" t="str">
        <f>J198</f>
        <v>mnożnik</v>
      </c>
      <c r="K192" s="31">
        <f>K198</f>
        <v>2</v>
      </c>
    </row>
    <row r="193" spans="1:10" s="31" customFormat="1" ht="12.75">
      <c r="A193" s="29"/>
      <c r="B193" s="12"/>
      <c r="C193" s="28"/>
      <c r="D193" s="19" t="str">
        <f>""&amp;K191&amp;"x"&amp;K192&amp;""</f>
        <v>3x2</v>
      </c>
      <c r="E193" s="29" t="s">
        <v>12</v>
      </c>
      <c r="F193" s="20">
        <f>K191*K192</f>
        <v>6</v>
      </c>
      <c r="G193" s="20"/>
      <c r="H193" s="20"/>
      <c r="J193" s="120"/>
    </row>
    <row r="194" spans="1:10" s="31" customFormat="1" ht="30" customHeight="1" hidden="1">
      <c r="A194" s="29"/>
      <c r="B194" s="34"/>
      <c r="C194" s="35"/>
      <c r="D194" s="144" t="str">
        <f>"RAZEM: "&amp;D189&amp;""</f>
        <v>RAZEM: URZĄDZENIA DYLATACYJNE</v>
      </c>
      <c r="E194" s="144"/>
      <c r="F194" s="144"/>
      <c r="G194" s="144"/>
      <c r="H194" s="58">
        <f>IF(SUM(H191)=0," ",SUM(H191))</f>
        <v>15000</v>
      </c>
      <c r="J194" s="120"/>
    </row>
    <row r="195" spans="1:10" s="110" customFormat="1" ht="30" customHeight="1">
      <c r="A195" s="66" t="s">
        <v>28</v>
      </c>
      <c r="B195" s="66" t="s">
        <v>103</v>
      </c>
      <c r="C195" s="82"/>
      <c r="D195" s="66" t="s">
        <v>104</v>
      </c>
      <c r="E195" s="66" t="s">
        <v>28</v>
      </c>
      <c r="F195" s="59" t="s">
        <v>28</v>
      </c>
      <c r="G195" s="66" t="s">
        <v>28</v>
      </c>
      <c r="H195" s="66" t="s">
        <v>28</v>
      </c>
      <c r="J195" s="120"/>
    </row>
    <row r="196" spans="1:10" s="31" customFormat="1" ht="30" customHeight="1">
      <c r="A196" s="18" t="s">
        <v>28</v>
      </c>
      <c r="B196" s="18" t="s">
        <v>105</v>
      </c>
      <c r="C196" s="26"/>
      <c r="D196" s="27" t="s">
        <v>106</v>
      </c>
      <c r="E196" s="18" t="s">
        <v>28</v>
      </c>
      <c r="F196" s="32" t="s">
        <v>28</v>
      </c>
      <c r="G196" s="18" t="s">
        <v>28</v>
      </c>
      <c r="H196" s="18" t="s">
        <v>28</v>
      </c>
      <c r="J196" s="120"/>
    </row>
    <row r="197" spans="1:11" s="31" customFormat="1" ht="30" customHeight="1">
      <c r="A197" s="29">
        <f>A191+1</f>
        <v>43</v>
      </c>
      <c r="B197" s="12" t="s">
        <v>105</v>
      </c>
      <c r="C197" s="28" t="s">
        <v>77</v>
      </c>
      <c r="D197" s="33" t="s">
        <v>277</v>
      </c>
      <c r="E197" s="29" t="s">
        <v>92</v>
      </c>
      <c r="F197" s="20">
        <f>F198</f>
        <v>4</v>
      </c>
      <c r="G197" s="20">
        <v>200</v>
      </c>
      <c r="H197" s="20">
        <f>IF(ROUND(F197*G197,2)=0," ",ROUND(F197*G197,2))</f>
        <v>800</v>
      </c>
      <c r="J197" s="120" t="s">
        <v>179</v>
      </c>
      <c r="K197" s="31">
        <v>2</v>
      </c>
    </row>
    <row r="198" spans="1:11" s="31" customFormat="1" ht="12.75">
      <c r="A198" s="29"/>
      <c r="B198" s="12"/>
      <c r="C198" s="28"/>
      <c r="D198" s="19" t="str">
        <f>""&amp;K197&amp;"x"&amp;K198&amp;""</f>
        <v>2x2</v>
      </c>
      <c r="E198" s="29" t="s">
        <v>92</v>
      </c>
      <c r="F198" s="20">
        <f>K197*K198</f>
        <v>4</v>
      </c>
      <c r="G198" s="20"/>
      <c r="H198" s="20"/>
      <c r="J198" s="120" t="s">
        <v>178</v>
      </c>
      <c r="K198" s="31">
        <v>2</v>
      </c>
    </row>
    <row r="199" spans="1:11" s="31" customFormat="1" ht="30" customHeight="1">
      <c r="A199" s="18" t="s">
        <v>28</v>
      </c>
      <c r="B199" s="18" t="s">
        <v>107</v>
      </c>
      <c r="C199" s="26"/>
      <c r="D199" s="27" t="s">
        <v>108</v>
      </c>
      <c r="E199" s="18" t="s">
        <v>28</v>
      </c>
      <c r="F199" s="32" t="s">
        <v>28</v>
      </c>
      <c r="G199" s="18" t="s">
        <v>28</v>
      </c>
      <c r="H199" s="18" t="s">
        <v>28</v>
      </c>
      <c r="J199" s="120" t="s">
        <v>177</v>
      </c>
      <c r="K199" s="31">
        <v>11.95</v>
      </c>
    </row>
    <row r="200" spans="1:11" s="31" customFormat="1" ht="30" customHeight="1">
      <c r="A200" s="29">
        <f>A197+1</f>
        <v>44</v>
      </c>
      <c r="B200" s="12" t="s">
        <v>107</v>
      </c>
      <c r="C200" s="28" t="s">
        <v>124</v>
      </c>
      <c r="D200" s="33" t="s">
        <v>109</v>
      </c>
      <c r="E200" s="29" t="s">
        <v>12</v>
      </c>
      <c r="F200" s="20">
        <f>F202</f>
        <v>47.8</v>
      </c>
      <c r="G200" s="20">
        <v>60</v>
      </c>
      <c r="H200" s="20">
        <f>IF(ROUND(F200*G200,2)=0," ",ROUND(F200*G200,2))</f>
        <v>2868</v>
      </c>
      <c r="J200" s="120" t="s">
        <v>278</v>
      </c>
      <c r="K200" s="31">
        <v>4</v>
      </c>
    </row>
    <row r="201" spans="1:10" s="31" customFormat="1" ht="12.75">
      <c r="A201" s="29"/>
      <c r="B201" s="12"/>
      <c r="C201" s="28"/>
      <c r="D201" s="33" t="s">
        <v>279</v>
      </c>
      <c r="E201" s="29"/>
      <c r="F201" s="20"/>
      <c r="G201" s="20"/>
      <c r="H201" s="20"/>
      <c r="J201" s="120"/>
    </row>
    <row r="202" spans="1:10" s="31" customFormat="1" ht="12.75">
      <c r="A202" s="29"/>
      <c r="B202" s="12"/>
      <c r="C202" s="28"/>
      <c r="D202" s="19" t="str">
        <f>""&amp;K199&amp;"x"&amp;K200&amp;""</f>
        <v>11,95x4</v>
      </c>
      <c r="E202" s="29" t="s">
        <v>12</v>
      </c>
      <c r="F202" s="20">
        <f>K199*K200</f>
        <v>47.8</v>
      </c>
      <c r="G202" s="20"/>
      <c r="H202" s="20"/>
      <c r="J202" s="122"/>
    </row>
    <row r="203" spans="1:11" s="31" customFormat="1" ht="30" customHeight="1" hidden="1">
      <c r="A203" s="29"/>
      <c r="B203" s="34"/>
      <c r="C203" s="35"/>
      <c r="D203" s="144" t="str">
        <f>"RAZEM: "&amp;D195&amp;""</f>
        <v>RAZEM: ODWODNIENIE</v>
      </c>
      <c r="E203" s="144"/>
      <c r="F203" s="144"/>
      <c r="G203" s="144"/>
      <c r="H203" s="58" t="e">
        <f>IF(SUM(#REF!,H200,H197,#REF!,#REF!)=0," ",SUM(#REF!,H200,H197,#REF!,#REF!))</f>
        <v>#REF!</v>
      </c>
      <c r="J203" s="120" t="s">
        <v>185</v>
      </c>
      <c r="K203" s="31">
        <v>4</v>
      </c>
    </row>
    <row r="204" spans="1:11" s="110" customFormat="1" ht="30" customHeight="1">
      <c r="A204" s="66" t="s">
        <v>28</v>
      </c>
      <c r="B204" s="66" t="s">
        <v>70</v>
      </c>
      <c r="C204" s="82"/>
      <c r="D204" s="66" t="s">
        <v>71</v>
      </c>
      <c r="E204" s="66" t="s">
        <v>28</v>
      </c>
      <c r="F204" s="59" t="s">
        <v>28</v>
      </c>
      <c r="G204" s="66" t="s">
        <v>28</v>
      </c>
      <c r="H204" s="66" t="s">
        <v>28</v>
      </c>
      <c r="J204" s="120" t="s">
        <v>355</v>
      </c>
      <c r="K204" s="110">
        <v>1.75</v>
      </c>
    </row>
    <row r="205" spans="1:11" s="31" customFormat="1" ht="30" customHeight="1">
      <c r="A205" s="18" t="s">
        <v>28</v>
      </c>
      <c r="B205" s="18" t="s">
        <v>72</v>
      </c>
      <c r="C205" s="26"/>
      <c r="D205" s="27" t="s">
        <v>73</v>
      </c>
      <c r="E205" s="18" t="s">
        <v>28</v>
      </c>
      <c r="F205" s="32" t="s">
        <v>28</v>
      </c>
      <c r="G205" s="18" t="s">
        <v>28</v>
      </c>
      <c r="H205" s="18" t="s">
        <v>28</v>
      </c>
      <c r="J205" s="120" t="s">
        <v>356</v>
      </c>
      <c r="K205" s="31">
        <v>4.8</v>
      </c>
    </row>
    <row r="206" spans="1:11" s="31" customFormat="1" ht="30" customHeight="1">
      <c r="A206" s="18" t="s">
        <v>28</v>
      </c>
      <c r="B206" s="18" t="s">
        <v>74</v>
      </c>
      <c r="C206" s="26"/>
      <c r="D206" s="27" t="s">
        <v>75</v>
      </c>
      <c r="E206" s="18" t="s">
        <v>28</v>
      </c>
      <c r="F206" s="32" t="s">
        <v>28</v>
      </c>
      <c r="G206" s="18" t="s">
        <v>28</v>
      </c>
      <c r="H206" s="18" t="s">
        <v>28</v>
      </c>
      <c r="J206" s="120" t="s">
        <v>357</v>
      </c>
      <c r="K206" s="31">
        <v>0.7</v>
      </c>
    </row>
    <row r="207" spans="1:12" s="31" customFormat="1" ht="30" customHeight="1">
      <c r="A207" s="29">
        <f>A200+1</f>
        <v>45</v>
      </c>
      <c r="B207" s="12" t="s">
        <v>74</v>
      </c>
      <c r="C207" s="28">
        <v>51</v>
      </c>
      <c r="D207" s="33" t="s">
        <v>76</v>
      </c>
      <c r="E207" s="29" t="s">
        <v>135</v>
      </c>
      <c r="F207" s="20">
        <f>F209</f>
        <v>36</v>
      </c>
      <c r="G207" s="20">
        <v>30</v>
      </c>
      <c r="H207" s="20">
        <f>IF(ROUND(F207*G207,2)=0," ",ROUND(F207*G207,2))</f>
        <v>1080</v>
      </c>
      <c r="J207" s="120" t="s">
        <v>358</v>
      </c>
      <c r="K207" s="31">
        <v>1.5</v>
      </c>
      <c r="L207" s="21"/>
    </row>
    <row r="208" spans="1:10" s="31" customFormat="1" ht="25.5">
      <c r="A208" s="29"/>
      <c r="B208" s="12"/>
      <c r="C208" s="28"/>
      <c r="D208" s="33" t="s">
        <v>398</v>
      </c>
      <c r="E208" s="29"/>
      <c r="F208" s="20"/>
      <c r="G208" s="20"/>
      <c r="H208" s="20"/>
      <c r="J208" s="120"/>
    </row>
    <row r="209" spans="1:12" s="31" customFormat="1" ht="14.25">
      <c r="A209" s="29"/>
      <c r="B209" s="12"/>
      <c r="C209" s="28"/>
      <c r="D209" s="19" t="str">
        <f>""&amp;K204&amp;"x"&amp;K205&amp;"x"&amp;K213&amp;"+"&amp;K204&amp;"x"&amp;K206&amp;"x"&amp;K213&amp;"x"&amp;K213&amp;"+"&amp;K207&amp;"x"&amp;K205&amp;"x"&amp;K213&amp;""</f>
        <v>1,75x4,8x2+1,75x0,7x2x2+1,5x4,8x2</v>
      </c>
      <c r="E209" s="29" t="s">
        <v>135</v>
      </c>
      <c r="F209" s="20">
        <f>ROUND(K204*K205*K213+K204*K206*K213*K213+K207*K205*K213,0)</f>
        <v>36</v>
      </c>
      <c r="G209" s="20"/>
      <c r="H209" s="20"/>
      <c r="J209" s="120"/>
      <c r="L209" s="21"/>
    </row>
    <row r="210" spans="1:11" s="31" customFormat="1" ht="30" customHeight="1">
      <c r="A210" s="18" t="s">
        <v>28</v>
      </c>
      <c r="B210" s="18" t="s">
        <v>100</v>
      </c>
      <c r="C210" s="26"/>
      <c r="D210" s="27" t="s">
        <v>99</v>
      </c>
      <c r="E210" s="18" t="s">
        <v>28</v>
      </c>
      <c r="F210" s="32" t="s">
        <v>28</v>
      </c>
      <c r="G210" s="18" t="s">
        <v>28</v>
      </c>
      <c r="H210" s="18" t="s">
        <v>28</v>
      </c>
      <c r="J210" s="120" t="s">
        <v>175</v>
      </c>
      <c r="K210" s="31">
        <v>4.82</v>
      </c>
    </row>
    <row r="211" spans="1:11" s="31" customFormat="1" ht="30" customHeight="1">
      <c r="A211" s="12">
        <f>A207+1</f>
        <v>46</v>
      </c>
      <c r="B211" s="12" t="s">
        <v>100</v>
      </c>
      <c r="C211" s="28" t="s">
        <v>50</v>
      </c>
      <c r="D211" s="19" t="s">
        <v>101</v>
      </c>
      <c r="E211" s="29" t="s">
        <v>135</v>
      </c>
      <c r="F211" s="20">
        <f>F213</f>
        <v>86</v>
      </c>
      <c r="G211" s="20">
        <v>60</v>
      </c>
      <c r="H211" s="20">
        <f>IF(ROUND(F211*G211,2)=0," ",ROUND(F211*G211,2))</f>
        <v>5160</v>
      </c>
      <c r="J211" s="120" t="s">
        <v>176</v>
      </c>
      <c r="K211" s="31">
        <v>11.95</v>
      </c>
    </row>
    <row r="212" spans="1:11" s="31" customFormat="1" ht="38.25">
      <c r="A212" s="12"/>
      <c r="B212" s="12"/>
      <c r="C212" s="28"/>
      <c r="D212" s="19" t="s">
        <v>399</v>
      </c>
      <c r="E212" s="29"/>
      <c r="F212" s="20"/>
      <c r="G212" s="20"/>
      <c r="H212" s="20"/>
      <c r="J212" s="120" t="s">
        <v>276</v>
      </c>
      <c r="K212" s="31">
        <v>0.35</v>
      </c>
    </row>
    <row r="213" spans="1:11" s="31" customFormat="1" ht="14.25">
      <c r="A213" s="12"/>
      <c r="B213" s="12"/>
      <c r="C213" s="28"/>
      <c r="D213" s="19" t="str">
        <f>""&amp;K211&amp;"x"&amp;K210&amp;"+"&amp;K210&amp;"x"&amp;K212&amp;"x"&amp;K213&amp;"+"&amp;K211&amp;"x("&amp;K214&amp;"+"&amp;K215&amp;")"</f>
        <v>11,95x4,82+4,82x0,35x2+11,95x(1,3+0,8)</v>
      </c>
      <c r="E213" s="29" t="s">
        <v>135</v>
      </c>
      <c r="F213" s="20">
        <f>ROUND((K210*K211+K210*K212*K213+K211*(K214+K215)),0)</f>
        <v>86</v>
      </c>
      <c r="G213" s="20"/>
      <c r="H213" s="20"/>
      <c r="J213" s="120" t="s">
        <v>163</v>
      </c>
      <c r="K213" s="31">
        <v>2</v>
      </c>
    </row>
    <row r="214" spans="1:11" s="31" customFormat="1" ht="30" customHeight="1">
      <c r="A214" s="12">
        <f>A211+1</f>
        <v>47</v>
      </c>
      <c r="B214" s="12" t="s">
        <v>100</v>
      </c>
      <c r="C214" s="28" t="s">
        <v>77</v>
      </c>
      <c r="D214" s="19" t="s">
        <v>102</v>
      </c>
      <c r="E214" s="29" t="s">
        <v>135</v>
      </c>
      <c r="F214" s="20">
        <f>F215</f>
        <v>86</v>
      </c>
      <c r="G214" s="20">
        <v>45</v>
      </c>
      <c r="H214" s="20">
        <f>IF(ROUND(F214*G214,2)=0," ",ROUND(F214*G214,2))</f>
        <v>3870</v>
      </c>
      <c r="J214" s="120" t="s">
        <v>352</v>
      </c>
      <c r="K214" s="31">
        <v>1.3</v>
      </c>
    </row>
    <row r="215" spans="1:11" s="31" customFormat="1" ht="25.5">
      <c r="A215" s="12"/>
      <c r="B215" s="12"/>
      <c r="C215" s="28"/>
      <c r="D215" s="19" t="str">
        <f>"poz."&amp;A211&amp;""</f>
        <v>poz.46</v>
      </c>
      <c r="E215" s="29" t="s">
        <v>135</v>
      </c>
      <c r="F215" s="20">
        <f>F213</f>
        <v>86</v>
      </c>
      <c r="G215" s="20"/>
      <c r="H215" s="20"/>
      <c r="J215" s="120" t="s">
        <v>353</v>
      </c>
      <c r="K215" s="31">
        <v>0.8</v>
      </c>
    </row>
    <row r="216" spans="1:10" s="31" customFormat="1" ht="30" customHeight="1" hidden="1">
      <c r="A216" s="29"/>
      <c r="B216" s="34"/>
      <c r="C216" s="35"/>
      <c r="D216" s="144" t="str">
        <f>"RAZEM: "&amp;D204&amp;""</f>
        <v>RAZEM: HYDROIZOLACJA</v>
      </c>
      <c r="E216" s="144"/>
      <c r="F216" s="144"/>
      <c r="G216" s="144"/>
      <c r="H216" s="58">
        <f>IF(SUM(H207,H211,H214)=0," ",SUM(H207,H211,H214))</f>
        <v>10110</v>
      </c>
      <c r="J216" s="120" t="s">
        <v>354</v>
      </c>
    </row>
    <row r="217" spans="1:10" s="110" customFormat="1" ht="30" customHeight="1">
      <c r="A217" s="66" t="s">
        <v>28</v>
      </c>
      <c r="B217" s="66" t="s">
        <v>66</v>
      </c>
      <c r="C217" s="82"/>
      <c r="D217" s="66" t="s">
        <v>128</v>
      </c>
      <c r="E217" s="66" t="s">
        <v>28</v>
      </c>
      <c r="F217" s="59" t="s">
        <v>28</v>
      </c>
      <c r="G217" s="66" t="s">
        <v>28</v>
      </c>
      <c r="H217" s="66" t="s">
        <v>28</v>
      </c>
      <c r="J217" s="120"/>
    </row>
    <row r="218" spans="1:10" s="31" customFormat="1" ht="30" customHeight="1">
      <c r="A218" s="18" t="s">
        <v>28</v>
      </c>
      <c r="B218" s="18" t="s">
        <v>130</v>
      </c>
      <c r="C218" s="26"/>
      <c r="D218" s="27" t="s">
        <v>67</v>
      </c>
      <c r="E218" s="18" t="s">
        <v>28</v>
      </c>
      <c r="F218" s="32" t="s">
        <v>28</v>
      </c>
      <c r="G218" s="18" t="s">
        <v>28</v>
      </c>
      <c r="H218" s="18" t="s">
        <v>28</v>
      </c>
      <c r="J218" s="120"/>
    </row>
    <row r="219" spans="1:11" s="31" customFormat="1" ht="30" customHeight="1">
      <c r="A219" s="29">
        <f>A214+1</f>
        <v>48</v>
      </c>
      <c r="B219" s="12" t="s">
        <v>130</v>
      </c>
      <c r="C219" s="28" t="s">
        <v>50</v>
      </c>
      <c r="D219" s="33" t="s">
        <v>68</v>
      </c>
      <c r="E219" s="29" t="s">
        <v>12</v>
      </c>
      <c r="F219" s="20">
        <f>SUM(F221:F221)</f>
        <v>20</v>
      </c>
      <c r="G219" s="20">
        <v>821.21</v>
      </c>
      <c r="H219" s="20">
        <f>IF(ROUND(F219*G219,2)=0," ",ROUND(F219*G219,2))</f>
        <v>16424.2</v>
      </c>
      <c r="J219" s="120" t="s">
        <v>274</v>
      </c>
      <c r="K219" s="31">
        <v>10</v>
      </c>
    </row>
    <row r="220" spans="1:11" s="31" customFormat="1" ht="76.5">
      <c r="A220" s="29"/>
      <c r="B220" s="12"/>
      <c r="C220" s="28"/>
      <c r="D220" s="33" t="s">
        <v>273</v>
      </c>
      <c r="E220" s="29"/>
      <c r="F220" s="20"/>
      <c r="G220" s="20"/>
      <c r="H220" s="20"/>
      <c r="J220" s="120" t="s">
        <v>203</v>
      </c>
      <c r="K220" s="31">
        <v>2</v>
      </c>
    </row>
    <row r="221" spans="1:10" s="31" customFormat="1" ht="12.75">
      <c r="A221" s="29"/>
      <c r="B221" s="12"/>
      <c r="C221" s="28"/>
      <c r="D221" s="19" t="str">
        <f>""&amp;K219&amp;"x"&amp;K220&amp;""</f>
        <v>10x2</v>
      </c>
      <c r="E221" s="29" t="s">
        <v>12</v>
      </c>
      <c r="F221" s="20">
        <f>K219*K220</f>
        <v>20</v>
      </c>
      <c r="G221" s="20"/>
      <c r="H221" s="20"/>
      <c r="J221" s="120"/>
    </row>
    <row r="222" spans="1:10" s="31" customFormat="1" ht="30" customHeight="1">
      <c r="A222" s="29">
        <f>A219+1</f>
        <v>49</v>
      </c>
      <c r="B222" s="12" t="s">
        <v>130</v>
      </c>
      <c r="C222" s="28" t="s">
        <v>77</v>
      </c>
      <c r="D222" s="33" t="s">
        <v>275</v>
      </c>
      <c r="E222" s="29" t="s">
        <v>12</v>
      </c>
      <c r="F222" s="20">
        <f>F223</f>
        <v>20</v>
      </c>
      <c r="G222" s="20">
        <v>80</v>
      </c>
      <c r="H222" s="20">
        <f>IF(ROUND(F222*G222,2)=0," ",ROUND(F222*G222,2))</f>
        <v>1600</v>
      </c>
      <c r="J222" s="120"/>
    </row>
    <row r="223" spans="1:10" s="31" customFormat="1" ht="12.75">
      <c r="A223" s="29"/>
      <c r="B223" s="12"/>
      <c r="C223" s="28"/>
      <c r="D223" s="19" t="str">
        <f>"poz."&amp;A219&amp;""</f>
        <v>poz.48</v>
      </c>
      <c r="E223" s="29" t="s">
        <v>12</v>
      </c>
      <c r="F223" s="20">
        <f>F221</f>
        <v>20</v>
      </c>
      <c r="G223" s="20"/>
      <c r="H223" s="20"/>
      <c r="J223" s="120"/>
    </row>
    <row r="224" spans="1:10" s="31" customFormat="1" ht="30" customHeight="1">
      <c r="A224" s="18" t="s">
        <v>28</v>
      </c>
      <c r="B224" s="18" t="s">
        <v>171</v>
      </c>
      <c r="C224" s="26"/>
      <c r="D224" s="27" t="s">
        <v>78</v>
      </c>
      <c r="E224" s="18" t="s">
        <v>28</v>
      </c>
      <c r="F224" s="32" t="s">
        <v>28</v>
      </c>
      <c r="G224" s="18" t="s">
        <v>28</v>
      </c>
      <c r="H224" s="18" t="s">
        <v>28</v>
      </c>
      <c r="J224" s="120"/>
    </row>
    <row r="225" spans="1:11" s="31" customFormat="1" ht="30" customHeight="1">
      <c r="A225" s="29">
        <f>A222+1</f>
        <v>50</v>
      </c>
      <c r="B225" s="12" t="s">
        <v>171</v>
      </c>
      <c r="C225" s="28" t="s">
        <v>125</v>
      </c>
      <c r="D225" s="33" t="s">
        <v>0</v>
      </c>
      <c r="E225" s="29" t="s">
        <v>12</v>
      </c>
      <c r="F225" s="20">
        <f>F227</f>
        <v>23.9</v>
      </c>
      <c r="G225" s="20">
        <v>220</v>
      </c>
      <c r="H225" s="20">
        <f>IF(ROUND(F225*G225,2)=0," ",ROUND(F225*G225,2))</f>
        <v>5258</v>
      </c>
      <c r="J225" s="120" t="s">
        <v>173</v>
      </c>
      <c r="K225" s="31">
        <v>11.95</v>
      </c>
    </row>
    <row r="226" spans="1:11" s="31" customFormat="1" ht="25.5">
      <c r="A226" s="29"/>
      <c r="B226" s="12"/>
      <c r="C226" s="28"/>
      <c r="D226" s="19" t="s">
        <v>250</v>
      </c>
      <c r="E226" s="29"/>
      <c r="F226" s="20"/>
      <c r="G226" s="20"/>
      <c r="H226" s="20"/>
      <c r="J226" s="120" t="s">
        <v>158</v>
      </c>
      <c r="K226" s="31">
        <v>2</v>
      </c>
    </row>
    <row r="227" spans="1:10" s="31" customFormat="1" ht="12.75">
      <c r="A227" s="29"/>
      <c r="B227" s="12"/>
      <c r="C227" s="28"/>
      <c r="D227" s="19" t="str">
        <f>""&amp;K225&amp;"x"&amp;K226&amp;""</f>
        <v>11,95x2</v>
      </c>
      <c r="E227" s="29" t="s">
        <v>12</v>
      </c>
      <c r="F227" s="20">
        <f>K225*K226</f>
        <v>23.9</v>
      </c>
      <c r="G227" s="20"/>
      <c r="H227" s="20"/>
      <c r="J227" s="120"/>
    </row>
    <row r="228" spans="1:10" s="31" customFormat="1" ht="30" customHeight="1">
      <c r="A228" s="12">
        <f>A225+1</f>
        <v>51</v>
      </c>
      <c r="B228" s="12" t="s">
        <v>171</v>
      </c>
      <c r="C228" s="28" t="s">
        <v>77</v>
      </c>
      <c r="D228" s="33" t="s">
        <v>79</v>
      </c>
      <c r="E228" s="29" t="s">
        <v>12</v>
      </c>
      <c r="F228" s="20">
        <f>F227</f>
        <v>23.9</v>
      </c>
      <c r="G228" s="20">
        <v>40</v>
      </c>
      <c r="H228" s="20">
        <f>IF(ROUND(F228*G228,2)=0," ",ROUND(F228*G228,2))</f>
        <v>956</v>
      </c>
      <c r="J228" s="120"/>
    </row>
    <row r="229" spans="1:10" s="31" customFormat="1" ht="25.5">
      <c r="A229" s="12">
        <f>A228+1</f>
        <v>52</v>
      </c>
      <c r="B229" s="12" t="s">
        <v>171</v>
      </c>
      <c r="C229" s="28" t="s">
        <v>80</v>
      </c>
      <c r="D229" s="33" t="s">
        <v>174</v>
      </c>
      <c r="E229" s="29" t="s">
        <v>12</v>
      </c>
      <c r="F229" s="20">
        <f>F230</f>
        <v>47.8</v>
      </c>
      <c r="G229" s="20">
        <v>39</v>
      </c>
      <c r="H229" s="20">
        <f>IF(ROUND(F229*G229,2)=0," ",ROUND(F229*G229,2))</f>
        <v>1864.2</v>
      </c>
      <c r="J229" s="120"/>
    </row>
    <row r="230" spans="1:10" s="31" customFormat="1" ht="12.75">
      <c r="A230" s="12"/>
      <c r="B230" s="12"/>
      <c r="C230" s="28"/>
      <c r="D230" s="19" t="str">
        <f>""&amp;K225&amp;"x"&amp;K226&amp;"x"&amp;K226&amp;""</f>
        <v>11,95x2x2</v>
      </c>
      <c r="E230" s="29" t="s">
        <v>12</v>
      </c>
      <c r="F230" s="20">
        <f>K225*K226*K226</f>
        <v>47.8</v>
      </c>
      <c r="G230" s="20"/>
      <c r="H230" s="20"/>
      <c r="J230" s="120"/>
    </row>
    <row r="231" spans="1:10" s="31" customFormat="1" ht="30" customHeight="1" hidden="1">
      <c r="A231" s="29"/>
      <c r="B231" s="34"/>
      <c r="C231" s="35"/>
      <c r="D231" s="144" t="str">
        <f>"RAZEM: "&amp;D217&amp;""</f>
        <v>RAZEM: WYPOSAŻENIE</v>
      </c>
      <c r="E231" s="144"/>
      <c r="F231" s="144"/>
      <c r="G231" s="144"/>
      <c r="H231" s="58" t="e">
        <f>IF(SUM(H225,H228,H229,H164,H167,H169,H172,H175,H219,H222,#REF!,#REF!,#REF!)=0," ",SUM(H225,H228,H229,H164,H167,H169,H172,H175,H219,H222,#REF!,#REF!,#REF!))</f>
        <v>#REF!</v>
      </c>
      <c r="J231" s="120"/>
    </row>
    <row r="232" spans="1:11" s="110" customFormat="1" ht="30" customHeight="1">
      <c r="A232" s="66" t="s">
        <v>28</v>
      </c>
      <c r="B232" s="66" t="s">
        <v>8</v>
      </c>
      <c r="C232" s="82"/>
      <c r="D232" s="66" t="s">
        <v>34</v>
      </c>
      <c r="E232" s="66" t="s">
        <v>28</v>
      </c>
      <c r="F232" s="59" t="s">
        <v>28</v>
      </c>
      <c r="G232" s="66" t="s">
        <v>28</v>
      </c>
      <c r="H232" s="66" t="s">
        <v>28</v>
      </c>
      <c r="J232" s="120" t="s">
        <v>334</v>
      </c>
      <c r="K232" s="110">
        <v>2</v>
      </c>
    </row>
    <row r="233" spans="1:11" s="31" customFormat="1" ht="30" customHeight="1">
      <c r="A233" s="18" t="s">
        <v>28</v>
      </c>
      <c r="B233" s="18" t="s">
        <v>330</v>
      </c>
      <c r="C233" s="26"/>
      <c r="D233" s="27" t="s">
        <v>331</v>
      </c>
      <c r="E233" s="18" t="s">
        <v>28</v>
      </c>
      <c r="F233" s="32" t="s">
        <v>28</v>
      </c>
      <c r="G233" s="20"/>
      <c r="H233" s="20"/>
      <c r="J233" s="120" t="s">
        <v>182</v>
      </c>
      <c r="K233" s="31">
        <v>4.8</v>
      </c>
    </row>
    <row r="234" spans="1:11" s="31" customFormat="1" ht="30" customHeight="1">
      <c r="A234" s="12">
        <f>A229+1</f>
        <v>53</v>
      </c>
      <c r="B234" s="12" t="s">
        <v>330</v>
      </c>
      <c r="C234" s="28" t="s">
        <v>332</v>
      </c>
      <c r="D234" s="19" t="s">
        <v>333</v>
      </c>
      <c r="E234" s="29" t="s">
        <v>135</v>
      </c>
      <c r="F234" s="20">
        <f>F236</f>
        <v>16.8</v>
      </c>
      <c r="G234" s="20"/>
      <c r="H234" s="20"/>
      <c r="J234" s="120" t="s">
        <v>181</v>
      </c>
      <c r="K234" s="31">
        <v>1.75</v>
      </c>
    </row>
    <row r="235" spans="1:10" s="31" customFormat="1" ht="30" customHeight="1">
      <c r="A235" s="12"/>
      <c r="B235" s="12"/>
      <c r="C235" s="28"/>
      <c r="D235" s="19" t="s">
        <v>333</v>
      </c>
      <c r="E235" s="29"/>
      <c r="F235" s="20"/>
      <c r="G235" s="20"/>
      <c r="H235" s="20"/>
      <c r="J235" s="122"/>
    </row>
    <row r="236" spans="1:10" s="31" customFormat="1" ht="14.25">
      <c r="A236" s="12"/>
      <c r="B236" s="12"/>
      <c r="C236" s="28"/>
      <c r="D236" s="19" t="str">
        <f>""&amp;K232&amp;"x"&amp;K233&amp;"x"&amp;K234&amp;""</f>
        <v>2x4,8x1,75</v>
      </c>
      <c r="E236" s="29" t="s">
        <v>135</v>
      </c>
      <c r="F236" s="20">
        <f>K232*K233*K234</f>
        <v>16.8</v>
      </c>
      <c r="G236" s="20"/>
      <c r="H236" s="20"/>
      <c r="J236" s="120"/>
    </row>
    <row r="237" spans="1:11" s="31" customFormat="1" ht="30" customHeight="1">
      <c r="A237" s="12">
        <f>A234+1</f>
        <v>54</v>
      </c>
      <c r="B237" s="12" t="s">
        <v>330</v>
      </c>
      <c r="C237" s="28" t="s">
        <v>154</v>
      </c>
      <c r="D237" s="19" t="s">
        <v>378</v>
      </c>
      <c r="E237" s="29" t="s">
        <v>12</v>
      </c>
      <c r="F237" s="20">
        <f>F239</f>
        <v>16</v>
      </c>
      <c r="G237" s="20"/>
      <c r="H237" s="20"/>
      <c r="J237" s="120" t="s">
        <v>335</v>
      </c>
      <c r="K237" s="31">
        <v>8</v>
      </c>
    </row>
    <row r="238" spans="1:10" s="31" customFormat="1" ht="38.25">
      <c r="A238" s="12"/>
      <c r="B238" s="12"/>
      <c r="C238" s="28"/>
      <c r="D238" s="19" t="s">
        <v>377</v>
      </c>
      <c r="E238" s="29"/>
      <c r="F238" s="20"/>
      <c r="G238" s="20"/>
      <c r="H238" s="20"/>
      <c r="J238" s="120"/>
    </row>
    <row r="239" spans="1:10" s="31" customFormat="1" ht="12.75">
      <c r="A239" s="12"/>
      <c r="B239" s="12"/>
      <c r="C239" s="28"/>
      <c r="D239" s="19" t="str">
        <f>""&amp;K237&amp;"x"&amp;K232&amp;""</f>
        <v>8x2</v>
      </c>
      <c r="E239" s="29" t="s">
        <v>12</v>
      </c>
      <c r="F239" s="20">
        <f>K237*K232</f>
        <v>16</v>
      </c>
      <c r="G239" s="20"/>
      <c r="H239" s="20"/>
      <c r="J239" s="120"/>
    </row>
    <row r="240" spans="1:11" s="31" customFormat="1" ht="30" customHeight="1">
      <c r="A240" s="18" t="s">
        <v>28</v>
      </c>
      <c r="B240" s="18" t="s">
        <v>336</v>
      </c>
      <c r="C240" s="26"/>
      <c r="D240" s="27" t="s">
        <v>383</v>
      </c>
      <c r="E240" s="18" t="s">
        <v>28</v>
      </c>
      <c r="F240" s="32" t="s">
        <v>28</v>
      </c>
      <c r="G240" s="20"/>
      <c r="H240" s="20"/>
      <c r="J240" s="120" t="s">
        <v>338</v>
      </c>
      <c r="K240" s="31">
        <v>6</v>
      </c>
    </row>
    <row r="241" spans="1:11" s="31" customFormat="1" ht="30" customHeight="1">
      <c r="A241" s="12">
        <f>A237+1</f>
        <v>55</v>
      </c>
      <c r="B241" s="12" t="s">
        <v>336</v>
      </c>
      <c r="C241" s="28" t="s">
        <v>51</v>
      </c>
      <c r="D241" s="19" t="s">
        <v>337</v>
      </c>
      <c r="E241" s="29" t="s">
        <v>136</v>
      </c>
      <c r="F241" s="20">
        <f>F243</f>
        <v>41</v>
      </c>
      <c r="G241" s="20"/>
      <c r="H241" s="20"/>
      <c r="J241" s="120" t="str">
        <f>J234</f>
        <v>wysokość</v>
      </c>
      <c r="K241" s="31">
        <v>1.8</v>
      </c>
    </row>
    <row r="242" spans="1:11" s="31" customFormat="1" ht="30" customHeight="1">
      <c r="A242" s="12"/>
      <c r="B242" s="12"/>
      <c r="C242" s="28"/>
      <c r="D242" s="19" t="s">
        <v>337</v>
      </c>
      <c r="E242" s="29"/>
      <c r="F242" s="20"/>
      <c r="G242" s="20"/>
      <c r="H242" s="20"/>
      <c r="J242" s="120" t="s">
        <v>339</v>
      </c>
      <c r="K242" s="31">
        <v>0.8</v>
      </c>
    </row>
    <row r="243" spans="1:11" s="31" customFormat="1" ht="14.25">
      <c r="A243" s="12"/>
      <c r="B243" s="12"/>
      <c r="C243" s="28"/>
      <c r="D243" s="19" t="str">
        <f>"(("&amp;K243&amp;"+"&amp;K242&amp;")x"&amp;K241&amp;"/"&amp;K232&amp;")x"&amp;K240&amp;"x"&amp;K232&amp;""</f>
        <v>((3+0,8)x1,8/2)x6x2</v>
      </c>
      <c r="E243" s="29" t="s">
        <v>136</v>
      </c>
      <c r="F243" s="20">
        <f>ROUND((((K243+K242)*K241)/K232)*K240*K232,1)</f>
        <v>41</v>
      </c>
      <c r="G243" s="20"/>
      <c r="H243" s="20"/>
      <c r="J243" s="120" t="s">
        <v>340</v>
      </c>
      <c r="K243" s="31">
        <v>3</v>
      </c>
    </row>
    <row r="244" spans="1:10" s="31" customFormat="1" ht="30" customHeight="1">
      <c r="A244" s="18" t="s">
        <v>28</v>
      </c>
      <c r="B244" s="18" t="s">
        <v>1</v>
      </c>
      <c r="C244" s="26"/>
      <c r="D244" s="27" t="s">
        <v>2</v>
      </c>
      <c r="E244" s="18" t="s">
        <v>28</v>
      </c>
      <c r="F244" s="32" t="s">
        <v>28</v>
      </c>
      <c r="G244" s="18" t="s">
        <v>28</v>
      </c>
      <c r="H244" s="18" t="s">
        <v>28</v>
      </c>
      <c r="J244" s="120"/>
    </row>
    <row r="245" spans="1:13" s="31" customFormat="1" ht="30" customHeight="1">
      <c r="A245" s="12">
        <f>A241+1</f>
        <v>56</v>
      </c>
      <c r="B245" s="12" t="s">
        <v>1</v>
      </c>
      <c r="C245" s="28" t="s">
        <v>50</v>
      </c>
      <c r="D245" s="19" t="s">
        <v>271</v>
      </c>
      <c r="E245" s="29" t="s">
        <v>136</v>
      </c>
      <c r="F245" s="20">
        <f>F247</f>
        <v>125</v>
      </c>
      <c r="G245" s="13">
        <v>185</v>
      </c>
      <c r="H245" s="20">
        <f>IF(ROUND(F245*G245,2)=0," ",ROUND(F245*G245,2))</f>
        <v>23125</v>
      </c>
      <c r="J245" s="120" t="s">
        <v>262</v>
      </c>
      <c r="K245" s="31">
        <f>2+50+2</f>
        <v>54</v>
      </c>
      <c r="L245" s="31" t="s">
        <v>163</v>
      </c>
      <c r="M245" s="31">
        <v>2</v>
      </c>
    </row>
    <row r="246" spans="1:12" s="31" customFormat="1" ht="25.5">
      <c r="A246" s="12"/>
      <c r="B246" s="12"/>
      <c r="C246" s="28"/>
      <c r="D246" s="19" t="s">
        <v>272</v>
      </c>
      <c r="E246" s="29"/>
      <c r="F246" s="20"/>
      <c r="G246" s="12"/>
      <c r="H246" s="20"/>
      <c r="J246" s="120" t="s">
        <v>263</v>
      </c>
      <c r="K246" s="31">
        <v>1</v>
      </c>
      <c r="L246" s="31">
        <v>0.5</v>
      </c>
    </row>
    <row r="247" spans="1:11" s="31" customFormat="1" ht="25.5">
      <c r="A247" s="12"/>
      <c r="B247" s="12"/>
      <c r="C247" s="28"/>
      <c r="D247" s="19" t="s">
        <v>385</v>
      </c>
      <c r="E247" s="29" t="s">
        <v>136</v>
      </c>
      <c r="F247" s="20">
        <f>50*5*0.5</f>
        <v>125</v>
      </c>
      <c r="G247" s="12"/>
      <c r="H247" s="20"/>
      <c r="J247" s="120" t="s">
        <v>264</v>
      </c>
      <c r="K247" s="31">
        <v>2</v>
      </c>
    </row>
    <row r="248" spans="1:14" s="31" customFormat="1" ht="30" customHeight="1">
      <c r="A248" s="12">
        <f>A245+1</f>
        <v>57</v>
      </c>
      <c r="B248" s="12" t="s">
        <v>1</v>
      </c>
      <c r="C248" s="28" t="s">
        <v>51</v>
      </c>
      <c r="D248" s="19" t="s">
        <v>400</v>
      </c>
      <c r="E248" s="29" t="s">
        <v>136</v>
      </c>
      <c r="F248" s="20">
        <f>F250</f>
        <v>149</v>
      </c>
      <c r="G248" s="12"/>
      <c r="H248" s="20"/>
      <c r="J248" s="120" t="s">
        <v>265</v>
      </c>
      <c r="K248" s="31">
        <v>6</v>
      </c>
      <c r="L248" s="31">
        <v>5</v>
      </c>
      <c r="M248" s="31">
        <v>4</v>
      </c>
      <c r="N248" s="31">
        <v>3</v>
      </c>
    </row>
    <row r="249" spans="1:14" s="31" customFormat="1" ht="38.25">
      <c r="A249" s="12"/>
      <c r="B249" s="12"/>
      <c r="C249" s="28"/>
      <c r="D249" s="19" t="s">
        <v>269</v>
      </c>
      <c r="E249" s="29"/>
      <c r="F249" s="20"/>
      <c r="G249" s="12"/>
      <c r="H249" s="20"/>
      <c r="J249" s="120" t="s">
        <v>266</v>
      </c>
      <c r="K249" s="31">
        <v>5</v>
      </c>
      <c r="L249" s="31">
        <v>7</v>
      </c>
      <c r="M249" s="31">
        <v>10</v>
      </c>
      <c r="N249" s="31">
        <v>12</v>
      </c>
    </row>
    <row r="250" spans="1:12" s="31" customFormat="1" ht="30" customHeight="1">
      <c r="A250" s="12"/>
      <c r="B250" s="12"/>
      <c r="C250" s="28"/>
      <c r="D250" s="19" t="str">
        <f>""&amp;K246&amp;"x"&amp;L246&amp;"x"&amp;K245&amp;"x"&amp;M245&amp;"x"&amp;K247&amp;"+"&amp;K246&amp;"x"&amp;L246&amp;"x("&amp;K248&amp;"+"&amp;L248&amp;"+"&amp;M248&amp;"+"&amp;N248&amp;"+"&amp;K249&amp;"+"&amp;L249&amp;"+"&amp;M249&amp;"+"&amp;N249&amp;"+"&amp;K251&amp;"+"&amp;L251&amp;"+"&amp;M251&amp;"+"&amp;N251&amp;"+"&amp;K252&amp;"+"&amp;L252&amp;"+"&amp;M252&amp;"+"&amp;N252&amp;")"</f>
        <v>1x0,5x54x2x2+1x0,5x(6+5+4+3+5+7+10+12+4+3+3+2+6+5+4+3)</v>
      </c>
      <c r="E250" s="29" t="s">
        <v>136</v>
      </c>
      <c r="F250" s="20">
        <f>K246*L246*K245*K247*M245+K246*L246*(K248+L248+M248+N248+K249+L249+M249+N249+K251+L251+M251+N251+K252+L252+M252+N252)</f>
        <v>149</v>
      </c>
      <c r="G250" s="12"/>
      <c r="H250" s="20"/>
      <c r="J250" s="120" t="s">
        <v>263</v>
      </c>
      <c r="K250" s="31">
        <v>1</v>
      </c>
      <c r="L250" s="31">
        <v>1</v>
      </c>
    </row>
    <row r="251" spans="1:14" s="31" customFormat="1" ht="30" customHeight="1">
      <c r="A251" s="12">
        <f>A248+1</f>
        <v>58</v>
      </c>
      <c r="B251" s="12" t="s">
        <v>1</v>
      </c>
      <c r="C251" s="28" t="s">
        <v>51</v>
      </c>
      <c r="D251" s="19" t="s">
        <v>401</v>
      </c>
      <c r="E251" s="29" t="s">
        <v>136</v>
      </c>
      <c r="F251" s="20">
        <f>F253</f>
        <v>108</v>
      </c>
      <c r="G251" s="12"/>
      <c r="H251" s="20"/>
      <c r="J251" s="120" t="s">
        <v>267</v>
      </c>
      <c r="K251" s="31">
        <v>4</v>
      </c>
      <c r="L251" s="31">
        <v>3</v>
      </c>
      <c r="M251" s="31">
        <v>3</v>
      </c>
      <c r="N251" s="31">
        <v>2</v>
      </c>
    </row>
    <row r="252" spans="1:14" s="31" customFormat="1" ht="25.5">
      <c r="A252" s="12"/>
      <c r="B252" s="12"/>
      <c r="C252" s="28"/>
      <c r="D252" s="19" t="s">
        <v>270</v>
      </c>
      <c r="E252" s="29"/>
      <c r="F252" s="20"/>
      <c r="G252" s="12"/>
      <c r="H252" s="20"/>
      <c r="J252" s="120" t="s">
        <v>268</v>
      </c>
      <c r="K252" s="21">
        <v>6</v>
      </c>
      <c r="L252" s="21">
        <v>5</v>
      </c>
      <c r="M252" s="21">
        <v>4</v>
      </c>
      <c r="N252" s="21">
        <v>3</v>
      </c>
    </row>
    <row r="253" spans="1:10" s="31" customFormat="1" ht="14.25">
      <c r="A253" s="12"/>
      <c r="B253" s="12"/>
      <c r="C253" s="28"/>
      <c r="D253" s="19" t="str">
        <f>""&amp;K250&amp;"x"&amp;L250&amp;"x"&amp;K245&amp;"x"&amp;M245&amp;""</f>
        <v>1x1x54x2</v>
      </c>
      <c r="E253" s="29" t="s">
        <v>136</v>
      </c>
      <c r="F253" s="20">
        <f>K250*L250*K245*M245</f>
        <v>108</v>
      </c>
      <c r="G253" s="12"/>
      <c r="H253" s="20"/>
      <c r="J253" s="122"/>
    </row>
    <row r="254" spans="1:10" s="110" customFormat="1" ht="30" customHeight="1">
      <c r="A254" s="66" t="s">
        <v>28</v>
      </c>
      <c r="B254" s="66" t="s">
        <v>81</v>
      </c>
      <c r="C254" s="82"/>
      <c r="D254" s="66" t="s">
        <v>82</v>
      </c>
      <c r="E254" s="66" t="s">
        <v>28</v>
      </c>
      <c r="F254" s="59" t="s">
        <v>28</v>
      </c>
      <c r="G254" s="66" t="s">
        <v>28</v>
      </c>
      <c r="H254" s="66" t="s">
        <v>28</v>
      </c>
      <c r="J254" s="120"/>
    </row>
    <row r="255" spans="1:10" s="31" customFormat="1" ht="30" customHeight="1">
      <c r="A255" s="18" t="s">
        <v>28</v>
      </c>
      <c r="B255" s="18" t="s">
        <v>87</v>
      </c>
      <c r="C255" s="12"/>
      <c r="D255" s="27" t="s">
        <v>3</v>
      </c>
      <c r="E255" s="18" t="s">
        <v>28</v>
      </c>
      <c r="F255" s="32" t="s">
        <v>28</v>
      </c>
      <c r="G255" s="18" t="s">
        <v>28</v>
      </c>
      <c r="H255" s="18" t="s">
        <v>28</v>
      </c>
      <c r="J255" s="120"/>
    </row>
    <row r="256" spans="1:11" s="31" customFormat="1" ht="30" customHeight="1">
      <c r="A256" s="12">
        <f>A251+1</f>
        <v>59</v>
      </c>
      <c r="B256" s="12" t="s">
        <v>87</v>
      </c>
      <c r="C256" s="12">
        <v>53</v>
      </c>
      <c r="D256" s="19" t="s">
        <v>88</v>
      </c>
      <c r="E256" s="29" t="s">
        <v>388</v>
      </c>
      <c r="F256" s="20">
        <f>F258</f>
        <v>19.12</v>
      </c>
      <c r="G256" s="20">
        <v>280</v>
      </c>
      <c r="H256" s="20">
        <f>IF(ROUND(F256*G256,2)=0," ",ROUND(F256*G256,2))</f>
        <v>5353.6</v>
      </c>
      <c r="J256" s="123" t="str">
        <f>J225</f>
        <v>długość krawężnika</v>
      </c>
      <c r="K256" s="31">
        <f>K225</f>
        <v>11.95</v>
      </c>
    </row>
    <row r="257" spans="1:11" s="31" customFormat="1" ht="25.5">
      <c r="A257" s="12"/>
      <c r="B257" s="12"/>
      <c r="C257" s="12"/>
      <c r="D257" s="116" t="s">
        <v>172</v>
      </c>
      <c r="E257" s="117"/>
      <c r="F257" s="118"/>
      <c r="G257" s="20"/>
      <c r="H257" s="20"/>
      <c r="J257" s="120"/>
      <c r="K257" s="31">
        <v>1.05</v>
      </c>
    </row>
    <row r="258" spans="1:11" s="31" customFormat="1" ht="12.75">
      <c r="A258" s="12"/>
      <c r="B258" s="12"/>
      <c r="C258" s="28"/>
      <c r="D258" s="19" t="str">
        <f>""&amp;K256&amp;"x("&amp;K257&amp;"+"&amp;K258&amp;")"</f>
        <v>11,95x(1,05+0,55)</v>
      </c>
      <c r="E258" s="29" t="s">
        <v>388</v>
      </c>
      <c r="F258" s="20">
        <f>K256*(K257+K258)</f>
        <v>19.12</v>
      </c>
      <c r="G258" s="12"/>
      <c r="H258" s="20"/>
      <c r="J258" s="120"/>
      <c r="K258" s="31">
        <v>0.55</v>
      </c>
    </row>
    <row r="259" spans="1:10" s="31" customFormat="1" ht="25.5">
      <c r="A259" s="12"/>
      <c r="B259" s="12"/>
      <c r="C259" s="12"/>
      <c r="D259" s="19" t="s">
        <v>110</v>
      </c>
      <c r="E259" s="29" t="s">
        <v>388</v>
      </c>
      <c r="F259" s="118">
        <f>F258</f>
        <v>19.12</v>
      </c>
      <c r="G259" s="20"/>
      <c r="H259" s="20"/>
      <c r="J259" s="122"/>
    </row>
    <row r="260" spans="1:10" s="31" customFormat="1" ht="25.5">
      <c r="A260" s="12"/>
      <c r="B260" s="12"/>
      <c r="C260" s="12"/>
      <c r="D260" s="19" t="s">
        <v>88</v>
      </c>
      <c r="E260" s="29" t="s">
        <v>388</v>
      </c>
      <c r="F260" s="118">
        <f>F259</f>
        <v>19.12</v>
      </c>
      <c r="G260" s="20"/>
      <c r="H260" s="20"/>
      <c r="J260" s="122"/>
    </row>
    <row r="261" spans="1:10" s="31" customFormat="1" ht="30" customHeight="1" hidden="1">
      <c r="A261" s="29"/>
      <c r="B261" s="34"/>
      <c r="C261" s="35"/>
      <c r="D261" s="144" t="str">
        <f>"RAZEM: "&amp;D254&amp;""</f>
        <v>RAZEM: ROBOTY NAWIERZCHNIOWE I ZABEZPIECZAJĄCE</v>
      </c>
      <c r="E261" s="144"/>
      <c r="F261" s="144"/>
      <c r="G261" s="144"/>
      <c r="H261" s="58" t="e">
        <f>IF(SUM(H256,#REF!)=0," ",SUM(H256,#REF!))</f>
        <v>#REF!</v>
      </c>
      <c r="J261" s="120"/>
    </row>
    <row r="262" spans="1:10" s="31" customFormat="1" ht="30" customHeight="1" hidden="1">
      <c r="A262" s="145" t="str">
        <f>"RAZEM: "&amp;A117&amp;""</f>
        <v>RAZEM: ROBOTY MOSTOWE</v>
      </c>
      <c r="B262" s="146"/>
      <c r="C262" s="146"/>
      <c r="D262" s="146"/>
      <c r="E262" s="146"/>
      <c r="F262" s="146"/>
      <c r="G262" s="146"/>
      <c r="H262" s="59" t="e">
        <f>IF(SUM(H261,#REF!,H231,H216,H203,H194,H180,H179,H178,H161,H160,#REF!,#REF!)=0," ",SUM(H261,#REF!,H231,H216,H203,H194,H180,H179,H178,H161,H160,#REF!,#REF!))</f>
        <v>#REF!</v>
      </c>
      <c r="J262" s="120"/>
    </row>
    <row r="263" spans="1:10" s="31" customFormat="1" ht="40.5" customHeight="1" hidden="1">
      <c r="A263" s="143" t="str">
        <f>"RAZEM: "&amp;A3&amp;""</f>
        <v>RAZEM: REMONT MOSTU </v>
      </c>
      <c r="B263" s="143"/>
      <c r="C263" s="143"/>
      <c r="D263" s="143"/>
      <c r="E263" s="143"/>
      <c r="F263" s="143"/>
      <c r="G263" s="143"/>
      <c r="H263" s="60" t="e">
        <f>IF(SUM(H116,H262,#REF!)=0," ",(SUM(H116,H262,#REF!)))</f>
        <v>#REF!</v>
      </c>
      <c r="J263" s="124"/>
    </row>
    <row r="264" spans="1:10" s="31" customFormat="1" ht="30" customHeight="1" hidden="1">
      <c r="A264" s="143" t="s">
        <v>188</v>
      </c>
      <c r="B264" s="143"/>
      <c r="C264" s="143"/>
      <c r="D264" s="143"/>
      <c r="E264" s="143"/>
      <c r="F264" s="143"/>
      <c r="G264" s="143"/>
      <c r="H264" s="60" t="e">
        <f>H263*0.23</f>
        <v>#REF!</v>
      </c>
      <c r="J264" s="120"/>
    </row>
    <row r="265" spans="1:10" s="31" customFormat="1" ht="30" customHeight="1" hidden="1">
      <c r="A265" s="143" t="str">
        <f>"RAZEM: "&amp;A3&amp;""</f>
        <v>RAZEM: REMONT MOSTU </v>
      </c>
      <c r="B265" s="143"/>
      <c r="C265" s="143"/>
      <c r="D265" s="143"/>
      <c r="E265" s="143"/>
      <c r="F265" s="143"/>
      <c r="G265" s="143"/>
      <c r="H265" s="60" t="e">
        <f>H264+H263</f>
        <v>#REF!</v>
      </c>
      <c r="J265" s="120"/>
    </row>
    <row r="266" spans="1:10" s="31" customFormat="1" ht="30" customHeight="1">
      <c r="A266" s="36"/>
      <c r="B266" s="36"/>
      <c r="C266" s="37"/>
      <c r="D266" s="38"/>
      <c r="E266" s="39"/>
      <c r="F266" s="70"/>
      <c r="G266" s="40"/>
      <c r="H266" s="40"/>
      <c r="J266" s="120"/>
    </row>
    <row r="267" spans="1:10" s="31" customFormat="1" ht="57" customHeight="1">
      <c r="A267" s="36"/>
      <c r="B267" s="36"/>
      <c r="C267" s="37"/>
      <c r="D267" s="38"/>
      <c r="E267" s="39"/>
      <c r="F267" s="70"/>
      <c r="G267" s="40"/>
      <c r="H267" s="40"/>
      <c r="J267" s="120"/>
    </row>
    <row r="268" spans="1:10" s="31" customFormat="1" ht="30" customHeight="1">
      <c r="A268" s="36"/>
      <c r="B268" s="36"/>
      <c r="C268" s="37"/>
      <c r="D268" s="38"/>
      <c r="E268" s="39"/>
      <c r="F268" s="70"/>
      <c r="G268" s="40"/>
      <c r="H268" s="40"/>
      <c r="J268" s="120"/>
    </row>
    <row r="269" spans="1:10" s="31" customFormat="1" ht="30" customHeight="1">
      <c r="A269" s="36"/>
      <c r="B269" s="36"/>
      <c r="C269" s="37"/>
      <c r="D269" s="38"/>
      <c r="E269" s="39"/>
      <c r="F269" s="70"/>
      <c r="G269" s="40"/>
      <c r="H269" s="40"/>
      <c r="J269" s="120"/>
    </row>
    <row r="270" spans="1:10" s="31" customFormat="1" ht="30" customHeight="1">
      <c r="A270" s="36"/>
      <c r="B270" s="36"/>
      <c r="C270" s="37"/>
      <c r="D270" s="38"/>
      <c r="E270" s="39"/>
      <c r="F270" s="70"/>
      <c r="G270" s="40"/>
      <c r="H270" s="40"/>
      <c r="J270" s="120"/>
    </row>
    <row r="271" spans="1:10" s="39" customFormat="1" ht="30" customHeight="1">
      <c r="A271" s="36"/>
      <c r="B271" s="36"/>
      <c r="C271" s="37"/>
      <c r="D271" s="38"/>
      <c r="F271" s="70"/>
      <c r="G271" s="40"/>
      <c r="H271" s="40"/>
      <c r="J271" s="120"/>
    </row>
    <row r="272" spans="1:10" s="39" customFormat="1" ht="30" customHeight="1">
      <c r="A272" s="36"/>
      <c r="B272" s="36"/>
      <c r="C272" s="37"/>
      <c r="D272" s="38"/>
      <c r="F272" s="70"/>
      <c r="G272" s="40"/>
      <c r="H272" s="40"/>
      <c r="J272" s="120"/>
    </row>
    <row r="273" spans="1:10" s="39" customFormat="1" ht="30" customHeight="1">
      <c r="A273" s="36"/>
      <c r="B273" s="36"/>
      <c r="C273" s="37"/>
      <c r="D273" s="38"/>
      <c r="F273" s="70"/>
      <c r="G273" s="40"/>
      <c r="H273" s="40"/>
      <c r="J273" s="120"/>
    </row>
    <row r="274" spans="1:10" s="39" customFormat="1" ht="54.75" customHeight="1">
      <c r="A274" s="36"/>
      <c r="B274" s="36"/>
      <c r="C274" s="37"/>
      <c r="D274" s="38"/>
      <c r="F274" s="70"/>
      <c r="G274" s="40"/>
      <c r="H274" s="40"/>
      <c r="J274" s="120"/>
    </row>
    <row r="275" spans="1:10" s="39" customFormat="1" ht="30" customHeight="1">
      <c r="A275" s="36"/>
      <c r="B275" s="36"/>
      <c r="C275" s="37"/>
      <c r="D275" s="38"/>
      <c r="F275" s="70"/>
      <c r="G275" s="40"/>
      <c r="H275" s="40"/>
      <c r="J275" s="120"/>
    </row>
    <row r="276" spans="1:10" s="39" customFormat="1" ht="30" customHeight="1">
      <c r="A276" s="36"/>
      <c r="B276" s="36"/>
      <c r="C276" s="37"/>
      <c r="D276" s="38"/>
      <c r="F276" s="70"/>
      <c r="G276" s="40"/>
      <c r="H276" s="40"/>
      <c r="J276" s="120"/>
    </row>
    <row r="277" spans="1:10" s="39" customFormat="1" ht="39.75" customHeight="1">
      <c r="A277" s="36"/>
      <c r="B277" s="36"/>
      <c r="C277" s="37"/>
      <c r="D277" s="38"/>
      <c r="F277" s="70"/>
      <c r="G277" s="40"/>
      <c r="H277" s="40"/>
      <c r="J277" s="120"/>
    </row>
    <row r="278" spans="1:10" s="39" customFormat="1" ht="30" customHeight="1">
      <c r="A278" s="36"/>
      <c r="B278" s="36"/>
      <c r="C278" s="37"/>
      <c r="D278" s="38"/>
      <c r="F278" s="70"/>
      <c r="G278" s="40"/>
      <c r="H278" s="40"/>
      <c r="J278" s="120"/>
    </row>
    <row r="279" spans="1:10" s="39" customFormat="1" ht="30" customHeight="1">
      <c r="A279" s="36"/>
      <c r="B279" s="36"/>
      <c r="C279" s="37"/>
      <c r="D279" s="38"/>
      <c r="F279" s="70"/>
      <c r="G279" s="40"/>
      <c r="H279" s="40"/>
      <c r="J279" s="120"/>
    </row>
    <row r="280" spans="1:10" s="39" customFormat="1" ht="30" customHeight="1">
      <c r="A280" s="36"/>
      <c r="B280" s="36"/>
      <c r="C280" s="37"/>
      <c r="D280" s="38"/>
      <c r="F280" s="70"/>
      <c r="G280" s="40"/>
      <c r="H280" s="40"/>
      <c r="J280" s="120"/>
    </row>
    <row r="281" spans="1:10" s="39" customFormat="1" ht="56.25" customHeight="1">
      <c r="A281" s="36"/>
      <c r="B281" s="36"/>
      <c r="C281" s="37"/>
      <c r="D281" s="38"/>
      <c r="F281" s="70"/>
      <c r="G281" s="40"/>
      <c r="H281" s="40"/>
      <c r="J281" s="120"/>
    </row>
    <row r="282" spans="1:10" s="39" customFormat="1" ht="30" customHeight="1">
      <c r="A282" s="36"/>
      <c r="B282" s="36"/>
      <c r="C282" s="37"/>
      <c r="D282" s="38"/>
      <c r="F282" s="70"/>
      <c r="G282" s="40"/>
      <c r="H282" s="40"/>
      <c r="J282" s="120"/>
    </row>
    <row r="283" spans="1:10" s="39" customFormat="1" ht="30" customHeight="1">
      <c r="A283" s="36"/>
      <c r="B283" s="36"/>
      <c r="C283" s="37"/>
      <c r="D283" s="38"/>
      <c r="F283" s="70"/>
      <c r="G283" s="40"/>
      <c r="H283" s="40"/>
      <c r="J283" s="120"/>
    </row>
    <row r="284" spans="1:10" s="39" customFormat="1" ht="30" customHeight="1">
      <c r="A284" s="36"/>
      <c r="B284" s="36"/>
      <c r="C284" s="37"/>
      <c r="D284" s="38"/>
      <c r="F284" s="70"/>
      <c r="G284" s="40"/>
      <c r="H284" s="40"/>
      <c r="J284" s="120"/>
    </row>
    <row r="285" spans="1:10" s="39" customFormat="1" ht="30" customHeight="1">
      <c r="A285" s="36"/>
      <c r="B285" s="36"/>
      <c r="C285" s="37"/>
      <c r="D285" s="38"/>
      <c r="F285" s="70"/>
      <c r="G285" s="40"/>
      <c r="H285" s="40"/>
      <c r="J285" s="120"/>
    </row>
    <row r="286" spans="1:10" s="39" customFormat="1" ht="30" customHeight="1">
      <c r="A286" s="36"/>
      <c r="B286" s="36"/>
      <c r="C286" s="37"/>
      <c r="D286" s="38"/>
      <c r="F286" s="70"/>
      <c r="G286" s="40"/>
      <c r="H286" s="40"/>
      <c r="J286" s="120"/>
    </row>
    <row r="287" spans="1:10" s="39" customFormat="1" ht="30" customHeight="1">
      <c r="A287" s="36"/>
      <c r="B287" s="36"/>
      <c r="C287" s="37"/>
      <c r="D287" s="38"/>
      <c r="F287" s="70"/>
      <c r="G287" s="40"/>
      <c r="H287" s="40"/>
      <c r="J287" s="120"/>
    </row>
    <row r="288" spans="1:10" s="39" customFormat="1" ht="30" customHeight="1">
      <c r="A288" s="36"/>
      <c r="B288" s="36"/>
      <c r="C288" s="37"/>
      <c r="D288" s="38"/>
      <c r="F288" s="70"/>
      <c r="G288" s="40"/>
      <c r="H288" s="40"/>
      <c r="J288" s="120"/>
    </row>
    <row r="289" spans="1:10" s="39" customFormat="1" ht="30" customHeight="1">
      <c r="A289" s="36"/>
      <c r="B289" s="36"/>
      <c r="C289" s="37"/>
      <c r="D289" s="38"/>
      <c r="F289" s="70"/>
      <c r="G289" s="40"/>
      <c r="H289" s="40"/>
      <c r="J289" s="120"/>
    </row>
    <row r="290" spans="1:10" s="39" customFormat="1" ht="30" customHeight="1">
      <c r="A290" s="41"/>
      <c r="B290" s="41"/>
      <c r="C290" s="42"/>
      <c r="D290" s="43"/>
      <c r="E290" s="21"/>
      <c r="F290" s="71"/>
      <c r="G290" s="44"/>
      <c r="H290" s="44"/>
      <c r="J290" s="120"/>
    </row>
    <row r="291" spans="1:10" s="39" customFormat="1" ht="30" customHeight="1">
      <c r="A291" s="41"/>
      <c r="B291" s="41"/>
      <c r="C291" s="42"/>
      <c r="D291" s="43"/>
      <c r="E291" s="21"/>
      <c r="F291" s="71"/>
      <c r="G291" s="44"/>
      <c r="H291" s="44"/>
      <c r="J291" s="120"/>
    </row>
    <row r="292" spans="1:10" s="39" customFormat="1" ht="30" customHeight="1">
      <c r="A292" s="41"/>
      <c r="B292" s="41"/>
      <c r="C292" s="42"/>
      <c r="D292" s="43"/>
      <c r="E292" s="21"/>
      <c r="F292" s="71"/>
      <c r="G292" s="44"/>
      <c r="H292" s="44"/>
      <c r="J292" s="120"/>
    </row>
    <row r="293" spans="1:10" s="39" customFormat="1" ht="30" customHeight="1">
      <c r="A293" s="41"/>
      <c r="B293" s="41"/>
      <c r="C293" s="42"/>
      <c r="D293" s="43"/>
      <c r="E293" s="21"/>
      <c r="F293" s="71"/>
      <c r="G293" s="44"/>
      <c r="H293" s="44"/>
      <c r="J293" s="120"/>
    </row>
    <row r="294" spans="1:10" s="39" customFormat="1" ht="30" customHeight="1">
      <c r="A294" s="41"/>
      <c r="B294" s="41"/>
      <c r="C294" s="42"/>
      <c r="D294" s="43"/>
      <c r="E294" s="21"/>
      <c r="F294" s="71"/>
      <c r="G294" s="44"/>
      <c r="H294" s="44"/>
      <c r="J294" s="120"/>
    </row>
    <row r="295" spans="1:10" s="39" customFormat="1" ht="30" customHeight="1">
      <c r="A295" s="41"/>
      <c r="B295" s="41"/>
      <c r="C295" s="42"/>
      <c r="D295" s="43"/>
      <c r="E295" s="21"/>
      <c r="F295" s="71"/>
      <c r="G295" s="44"/>
      <c r="H295" s="44"/>
      <c r="J295" s="120"/>
    </row>
    <row r="296" spans="1:10" s="39" customFormat="1" ht="30" customHeight="1">
      <c r="A296" s="41"/>
      <c r="B296" s="41"/>
      <c r="C296" s="42"/>
      <c r="D296" s="43"/>
      <c r="E296" s="21"/>
      <c r="F296" s="71"/>
      <c r="G296" s="44"/>
      <c r="H296" s="44"/>
      <c r="J296" s="120"/>
    </row>
    <row r="297" spans="1:10" s="39" customFormat="1" ht="30" customHeight="1">
      <c r="A297" s="41"/>
      <c r="B297" s="41"/>
      <c r="C297" s="42"/>
      <c r="D297" s="43"/>
      <c r="E297" s="21"/>
      <c r="F297" s="71"/>
      <c r="G297" s="44"/>
      <c r="H297" s="44"/>
      <c r="J297" s="120"/>
    </row>
    <row r="298" spans="1:10" s="39" customFormat="1" ht="30" customHeight="1">
      <c r="A298" s="41"/>
      <c r="B298" s="41"/>
      <c r="C298" s="42"/>
      <c r="D298" s="43"/>
      <c r="E298" s="21"/>
      <c r="F298" s="71"/>
      <c r="G298" s="44"/>
      <c r="H298" s="44"/>
      <c r="J298" s="120"/>
    </row>
    <row r="299" spans="1:10" s="39" customFormat="1" ht="30" customHeight="1">
      <c r="A299" s="41"/>
      <c r="B299" s="41"/>
      <c r="C299" s="42"/>
      <c r="D299" s="43"/>
      <c r="E299" s="21"/>
      <c r="F299" s="71"/>
      <c r="G299" s="44"/>
      <c r="H299" s="44"/>
      <c r="J299" s="120"/>
    </row>
    <row r="300" spans="1:10" s="39" customFormat="1" ht="30" customHeight="1">
      <c r="A300" s="41"/>
      <c r="B300" s="41"/>
      <c r="C300" s="42"/>
      <c r="D300" s="43"/>
      <c r="E300" s="21"/>
      <c r="F300" s="71"/>
      <c r="G300" s="44"/>
      <c r="H300" s="44"/>
      <c r="J300" s="120"/>
    </row>
    <row r="301" spans="1:10" s="39" customFormat="1" ht="30" customHeight="1">
      <c r="A301" s="41"/>
      <c r="B301" s="41"/>
      <c r="C301" s="42"/>
      <c r="D301" s="43"/>
      <c r="E301" s="21"/>
      <c r="F301" s="71"/>
      <c r="G301" s="44"/>
      <c r="H301" s="44"/>
      <c r="J301" s="120"/>
    </row>
    <row r="302" spans="1:10" s="39" customFormat="1" ht="30" customHeight="1">
      <c r="A302" s="41"/>
      <c r="B302" s="41"/>
      <c r="C302" s="42"/>
      <c r="D302" s="43"/>
      <c r="E302" s="21"/>
      <c r="F302" s="71"/>
      <c r="G302" s="44"/>
      <c r="H302" s="44"/>
      <c r="J302" s="120"/>
    </row>
    <row r="303" spans="1:10" s="39" customFormat="1" ht="30" customHeight="1">
      <c r="A303" s="41"/>
      <c r="B303" s="41"/>
      <c r="C303" s="42"/>
      <c r="D303" s="43"/>
      <c r="E303" s="21"/>
      <c r="F303" s="71"/>
      <c r="G303" s="44"/>
      <c r="H303" s="44"/>
      <c r="J303" s="120"/>
    </row>
    <row r="304" spans="1:10" s="39" customFormat="1" ht="30" customHeight="1">
      <c r="A304" s="41"/>
      <c r="B304" s="41"/>
      <c r="C304" s="42"/>
      <c r="D304" s="43"/>
      <c r="E304" s="21"/>
      <c r="F304" s="71"/>
      <c r="G304" s="44"/>
      <c r="H304" s="44"/>
      <c r="J304" s="120"/>
    </row>
    <row r="305" spans="1:10" s="39" customFormat="1" ht="30" customHeight="1">
      <c r="A305" s="41"/>
      <c r="B305" s="41"/>
      <c r="C305" s="42"/>
      <c r="D305" s="43"/>
      <c r="E305" s="21"/>
      <c r="F305" s="71"/>
      <c r="G305" s="44"/>
      <c r="H305" s="44"/>
      <c r="J305" s="120"/>
    </row>
    <row r="306" spans="1:10" s="39" customFormat="1" ht="30" customHeight="1">
      <c r="A306" s="41"/>
      <c r="B306" s="41"/>
      <c r="C306" s="42"/>
      <c r="D306" s="43"/>
      <c r="E306" s="21"/>
      <c r="F306" s="71"/>
      <c r="G306" s="44"/>
      <c r="H306" s="44"/>
      <c r="J306" s="120"/>
    </row>
    <row r="307" spans="1:10" s="39" customFormat="1" ht="30" customHeight="1">
      <c r="A307" s="41"/>
      <c r="B307" s="41"/>
      <c r="C307" s="42"/>
      <c r="D307" s="43"/>
      <c r="E307" s="21"/>
      <c r="F307" s="71"/>
      <c r="G307" s="44"/>
      <c r="H307" s="44"/>
      <c r="J307" s="120"/>
    </row>
    <row r="308" spans="1:10" s="39" customFormat="1" ht="30" customHeight="1">
      <c r="A308" s="41"/>
      <c r="B308" s="41"/>
      <c r="C308" s="42"/>
      <c r="D308" s="43"/>
      <c r="E308" s="21"/>
      <c r="F308" s="71"/>
      <c r="G308" s="44"/>
      <c r="H308" s="44"/>
      <c r="J308" s="120"/>
    </row>
    <row r="309" spans="1:10" s="39" customFormat="1" ht="30" customHeight="1">
      <c r="A309" s="41"/>
      <c r="B309" s="41"/>
      <c r="C309" s="42"/>
      <c r="D309" s="43"/>
      <c r="E309" s="21"/>
      <c r="F309" s="71"/>
      <c r="G309" s="44"/>
      <c r="H309" s="44"/>
      <c r="J309" s="120"/>
    </row>
    <row r="310" spans="1:10" s="39" customFormat="1" ht="30" customHeight="1">
      <c r="A310" s="41"/>
      <c r="B310" s="41"/>
      <c r="C310" s="42"/>
      <c r="D310" s="43"/>
      <c r="E310" s="21"/>
      <c r="F310" s="71"/>
      <c r="G310" s="44"/>
      <c r="H310" s="44"/>
      <c r="J310" s="120"/>
    </row>
    <row r="311" spans="1:10" s="39" customFormat="1" ht="30" customHeight="1">
      <c r="A311" s="41"/>
      <c r="B311" s="41"/>
      <c r="C311" s="42"/>
      <c r="D311" s="43"/>
      <c r="E311" s="21"/>
      <c r="F311" s="71"/>
      <c r="G311" s="44"/>
      <c r="H311" s="44"/>
      <c r="J311" s="120"/>
    </row>
    <row r="312" spans="1:10" s="39" customFormat="1" ht="30" customHeight="1">
      <c r="A312" s="41"/>
      <c r="B312" s="41"/>
      <c r="C312" s="42"/>
      <c r="D312" s="43"/>
      <c r="E312" s="21"/>
      <c r="F312" s="71"/>
      <c r="G312" s="44"/>
      <c r="H312" s="44"/>
      <c r="J312" s="120"/>
    </row>
    <row r="313" spans="1:10" s="39" customFormat="1" ht="30" customHeight="1">
      <c r="A313" s="41"/>
      <c r="B313" s="41"/>
      <c r="C313" s="42"/>
      <c r="D313" s="43"/>
      <c r="E313" s="21"/>
      <c r="F313" s="71"/>
      <c r="G313" s="44"/>
      <c r="H313" s="44"/>
      <c r="J313" s="120"/>
    </row>
    <row r="314" spans="1:10" s="39" customFormat="1" ht="30" customHeight="1">
      <c r="A314" s="41"/>
      <c r="B314" s="41"/>
      <c r="C314" s="42"/>
      <c r="D314" s="43"/>
      <c r="E314" s="21"/>
      <c r="F314" s="71"/>
      <c r="G314" s="44"/>
      <c r="H314" s="44"/>
      <c r="J314" s="120"/>
    </row>
    <row r="315" spans="1:10" s="39" customFormat="1" ht="30" customHeight="1">
      <c r="A315" s="41"/>
      <c r="B315" s="41"/>
      <c r="C315" s="42"/>
      <c r="D315" s="43"/>
      <c r="E315" s="21"/>
      <c r="F315" s="71"/>
      <c r="G315" s="44"/>
      <c r="H315" s="44"/>
      <c r="J315" s="120"/>
    </row>
  </sheetData>
  <sheetProtection/>
  <mergeCells count="32">
    <mergeCell ref="A1:H1"/>
    <mergeCell ref="A2:H2"/>
    <mergeCell ref="A3:H3"/>
    <mergeCell ref="A5:A6"/>
    <mergeCell ref="B5:B6"/>
    <mergeCell ref="H5:H6"/>
    <mergeCell ref="E5:F5"/>
    <mergeCell ref="G5:G6"/>
    <mergeCell ref="D216:G216"/>
    <mergeCell ref="D178:G178"/>
    <mergeCell ref="A116:G116"/>
    <mergeCell ref="A7:H7"/>
    <mergeCell ref="D5:D6"/>
    <mergeCell ref="C5:C6"/>
    <mergeCell ref="D160:G160"/>
    <mergeCell ref="D203:G203"/>
    <mergeCell ref="A264:G264"/>
    <mergeCell ref="A265:G265"/>
    <mergeCell ref="D29:G29"/>
    <mergeCell ref="D115:G115"/>
    <mergeCell ref="D71:G71"/>
    <mergeCell ref="D180:G180"/>
    <mergeCell ref="D161:G161"/>
    <mergeCell ref="D40:G40"/>
    <mergeCell ref="D83:G83"/>
    <mergeCell ref="D179:G179"/>
    <mergeCell ref="A263:G263"/>
    <mergeCell ref="D261:G261"/>
    <mergeCell ref="A262:G262"/>
    <mergeCell ref="D194:G194"/>
    <mergeCell ref="D231:G231"/>
    <mergeCell ref="A117:H117"/>
  </mergeCells>
  <printOptions/>
  <pageMargins left="0.5905511811023623" right="0.1968503937007874" top="0.3937007874015748" bottom="0.3937007874015748" header="0.3937007874015748" footer="0.5118110236220472"/>
  <pageSetup firstPageNumber="4" useFirstPageNumber="1" fitToHeight="0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2:I43"/>
  <sheetViews>
    <sheetView view="pageBreakPreview" zoomScale="145" zoomScaleSheetLayoutView="145" zoomScalePageLayoutView="0" workbookViewId="0" topLeftCell="A1">
      <selection activeCell="A15" sqref="A15:G15"/>
    </sheetView>
  </sheetViews>
  <sheetFormatPr defaultColWidth="9.00390625" defaultRowHeight="12.75"/>
  <cols>
    <col min="1" max="2" width="9.125" style="1" customWidth="1"/>
    <col min="3" max="3" width="13.25390625" style="1" bestFit="1" customWidth="1"/>
    <col min="4" max="16384" width="9.125" style="1" customWidth="1"/>
  </cols>
  <sheetData>
    <row r="2" ht="12.75">
      <c r="A2" s="1" t="s">
        <v>15</v>
      </c>
    </row>
    <row r="3" ht="12.75">
      <c r="A3" s="2" t="s">
        <v>16</v>
      </c>
    </row>
    <row r="9" spans="1:9" ht="26.25" customHeight="1">
      <c r="A9" s="127" t="s">
        <v>190</v>
      </c>
      <c r="B9" s="127"/>
      <c r="C9" s="127"/>
      <c r="D9" s="127"/>
      <c r="E9" s="127"/>
      <c r="F9" s="127"/>
      <c r="G9" s="127"/>
      <c r="H9" s="127"/>
      <c r="I9" s="127"/>
    </row>
    <row r="12" spans="1:9" ht="12.75" customHeight="1">
      <c r="A12" s="161"/>
      <c r="B12" s="161"/>
      <c r="C12" s="161"/>
      <c r="D12" s="161"/>
      <c r="E12" s="161"/>
      <c r="F12" s="161"/>
      <c r="G12" s="161"/>
      <c r="H12" s="3"/>
      <c r="I12" s="3"/>
    </row>
    <row r="13" spans="1:9" ht="12.75" customHeight="1">
      <c r="A13" s="162" t="str">
        <f>OKŁADKA_P!A12</f>
        <v>Remont mostu do szkoły łączącego drogi na dz. Nr 1518 i Nr 2490/1 w miejscowości Jaśliska</v>
      </c>
      <c r="B13" s="162"/>
      <c r="C13" s="162"/>
      <c r="D13" s="162"/>
      <c r="E13" s="162"/>
      <c r="F13" s="162"/>
      <c r="G13" s="162"/>
      <c r="H13" s="162"/>
      <c r="I13" s="162"/>
    </row>
    <row r="14" spans="1:9" ht="57.75" customHeight="1">
      <c r="A14" s="162"/>
      <c r="B14" s="162"/>
      <c r="C14" s="162"/>
      <c r="D14" s="162"/>
      <c r="E14" s="162"/>
      <c r="F14" s="162"/>
      <c r="G14" s="162"/>
      <c r="H14" s="162"/>
      <c r="I14" s="162"/>
    </row>
    <row r="15" spans="1:7" ht="20.25">
      <c r="A15" s="162"/>
      <c r="B15" s="162"/>
      <c r="C15" s="162"/>
      <c r="D15" s="162"/>
      <c r="E15" s="162"/>
      <c r="F15" s="162"/>
      <c r="G15" s="162"/>
    </row>
    <row r="18" spans="1:4" ht="19.5" customHeight="1">
      <c r="A18" s="4" t="s">
        <v>132</v>
      </c>
      <c r="C18" s="5"/>
      <c r="D18" s="1" t="s">
        <v>118</v>
      </c>
    </row>
    <row r="19" spans="1:8" ht="19.5" customHeight="1">
      <c r="A19" s="4" t="s">
        <v>119</v>
      </c>
      <c r="B19" s="163"/>
      <c r="C19" s="164"/>
      <c r="D19" s="164"/>
      <c r="E19" s="164"/>
      <c r="F19" s="164"/>
      <c r="G19" s="164"/>
      <c r="H19" s="165"/>
    </row>
    <row r="20" spans="2:8" ht="19.5" customHeight="1">
      <c r="B20" s="166"/>
      <c r="C20" s="167"/>
      <c r="D20" s="167"/>
      <c r="E20" s="167"/>
      <c r="F20" s="167"/>
      <c r="G20" s="167"/>
      <c r="H20" s="168"/>
    </row>
    <row r="21" ht="19.5" customHeight="1"/>
    <row r="23" spans="1:4" ht="19.5" customHeight="1">
      <c r="A23" s="4" t="s">
        <v>132</v>
      </c>
      <c r="C23" s="5"/>
      <c r="D23" s="1" t="s">
        <v>121</v>
      </c>
    </row>
    <row r="24" spans="1:8" ht="19.5" customHeight="1">
      <c r="A24" s="4" t="s">
        <v>119</v>
      </c>
      <c r="B24" s="163"/>
      <c r="C24" s="164"/>
      <c r="D24" s="164"/>
      <c r="E24" s="164"/>
      <c r="F24" s="164"/>
      <c r="G24" s="164"/>
      <c r="H24" s="165"/>
    </row>
    <row r="25" spans="2:8" ht="19.5" customHeight="1">
      <c r="B25" s="166"/>
      <c r="C25" s="167"/>
      <c r="D25" s="167"/>
      <c r="E25" s="167"/>
      <c r="F25" s="167"/>
      <c r="G25" s="167"/>
      <c r="H25" s="168"/>
    </row>
    <row r="26" ht="19.5" customHeight="1"/>
    <row r="30" spans="1:6" ht="12.75">
      <c r="A30" s="4" t="s">
        <v>17</v>
      </c>
      <c r="F30" s="4" t="s">
        <v>18</v>
      </c>
    </row>
    <row r="33" spans="1:6" ht="12.75">
      <c r="A33" s="1" t="s">
        <v>19</v>
      </c>
      <c r="F33" s="1" t="s">
        <v>20</v>
      </c>
    </row>
    <row r="34" spans="1:7" ht="12.75">
      <c r="A34" s="2" t="s">
        <v>21</v>
      </c>
      <c r="G34" s="2" t="s">
        <v>21</v>
      </c>
    </row>
    <row r="43" ht="12.75">
      <c r="D43" s="1" t="s">
        <v>111</v>
      </c>
    </row>
  </sheetData>
  <sheetProtection/>
  <mergeCells count="6">
    <mergeCell ref="A9:I9"/>
    <mergeCell ref="A12:G12"/>
    <mergeCell ref="A13:I14"/>
    <mergeCell ref="A15:G15"/>
    <mergeCell ref="B19:H20"/>
    <mergeCell ref="B24:H25"/>
  </mergeCells>
  <printOptions/>
  <pageMargins left="0.75" right="0.61" top="1" bottom="1" header="0.5" footer="0.5"/>
  <pageSetup orientation="portrait" paperSize="9" r:id="rId1"/>
  <headerFooter alignWithMargins="0">
    <oddFooter>&amp;RStrona&amp;P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1:G34"/>
  <sheetViews>
    <sheetView view="pageBreakPreview" zoomScaleSheetLayoutView="100" zoomScalePageLayoutView="0" workbookViewId="0" topLeftCell="A13">
      <selection activeCell="F9" sqref="F9"/>
    </sheetView>
  </sheetViews>
  <sheetFormatPr defaultColWidth="9.00390625" defaultRowHeight="12.75"/>
  <cols>
    <col min="1" max="1" width="8.375" style="7" bestFit="1" customWidth="1"/>
    <col min="2" max="2" width="57.25390625" style="7" customWidth="1"/>
    <col min="3" max="3" width="23.125" style="7" customWidth="1"/>
    <col min="4" max="5" width="9.75390625" style="7" customWidth="1"/>
    <col min="6" max="6" width="11.125" style="7" customWidth="1"/>
    <col min="7" max="7" width="12.75390625" style="7" customWidth="1"/>
    <col min="8" max="16384" width="9.125" style="7" customWidth="1"/>
  </cols>
  <sheetData>
    <row r="1" spans="1:7" ht="20.25">
      <c r="A1" s="169" t="str">
        <f>OKŁADKA_O!A9</f>
        <v>KOSZTORYS OFERTOWY</v>
      </c>
      <c r="B1" s="169"/>
      <c r="C1" s="169"/>
      <c r="D1" s="6"/>
      <c r="E1" s="6"/>
      <c r="F1" s="6"/>
      <c r="G1" s="6"/>
    </row>
    <row r="2" ht="15.75" customHeight="1"/>
    <row r="3" spans="1:7" ht="20.25">
      <c r="A3" s="170" t="s">
        <v>22</v>
      </c>
      <c r="B3" s="170"/>
      <c r="C3" s="170"/>
      <c r="D3" s="6"/>
      <c r="E3" s="6"/>
      <c r="F3" s="6"/>
      <c r="G3" s="6"/>
    </row>
    <row r="4" ht="15.75" customHeight="1"/>
    <row r="5" spans="1:7" ht="63" customHeight="1">
      <c r="A5" s="171" t="str">
        <f>OKŁADKA_P!A12</f>
        <v>Remont mostu do szkoły łączącego drogi na dz. Nr 1518 i Nr 2490/1 w miejscowości Jaśliska</v>
      </c>
      <c r="B5" s="171"/>
      <c r="C5" s="171"/>
      <c r="D5" s="8"/>
      <c r="E5" s="8"/>
      <c r="F5" s="8"/>
      <c r="G5" s="8"/>
    </row>
    <row r="9" spans="1:3" s="9" customFormat="1" ht="36">
      <c r="A9" s="14" t="s">
        <v>133</v>
      </c>
      <c r="B9" s="14" t="s">
        <v>23</v>
      </c>
      <c r="C9" s="15" t="s">
        <v>24</v>
      </c>
    </row>
    <row r="10" spans="1:3" ht="30" customHeight="1">
      <c r="A10" s="10">
        <v>1</v>
      </c>
      <c r="B10" s="16" t="s">
        <v>43</v>
      </c>
      <c r="C10" s="17"/>
    </row>
    <row r="11" spans="1:3" ht="30" customHeight="1">
      <c r="A11" s="10"/>
      <c r="B11" s="119" t="str">
        <f>OFERTOWY!D8</f>
        <v>ROBOTY PRZYGOTOWAWCZE</v>
      </c>
      <c r="C11" s="17"/>
    </row>
    <row r="12" spans="1:3" ht="30" customHeight="1">
      <c r="A12" s="10"/>
      <c r="B12" s="119" t="str">
        <f>OFERTOWY!D18</f>
        <v>ROBOTY ZIEMNE</v>
      </c>
      <c r="C12" s="17"/>
    </row>
    <row r="13" spans="1:3" ht="30" customHeight="1">
      <c r="A13" s="10"/>
      <c r="B13" s="119" t="str">
        <f>OFERTOWY!D23</f>
        <v>ODWODNIENIE KORPUSU DROGOWEGO</v>
      </c>
      <c r="C13" s="17"/>
    </row>
    <row r="14" spans="1:3" ht="30" customHeight="1">
      <c r="A14" s="10"/>
      <c r="B14" s="119" t="str">
        <f>OFERTOWY!D28</f>
        <v>PODBUDOWY</v>
      </c>
      <c r="C14" s="17"/>
    </row>
    <row r="15" spans="1:3" ht="30" customHeight="1">
      <c r="A15" s="10"/>
      <c r="B15" s="119" t="str">
        <f>OFERTOWY!D37</f>
        <v>NAWIERZCHNIE</v>
      </c>
      <c r="C15" s="17"/>
    </row>
    <row r="16" spans="1:3" ht="30" customHeight="1">
      <c r="A16" s="10"/>
      <c r="B16" s="119" t="str">
        <f>OFERTOWY!D43</f>
        <v>OZNAKOWANIE I URZĄDZENIA BEZPIECZEŃSTWA RUCHU</v>
      </c>
      <c r="C16" s="17"/>
    </row>
    <row r="17" spans="1:3" ht="30" customHeight="1">
      <c r="A17" s="10"/>
      <c r="B17" s="119" t="str">
        <f>OFERTOWY!D49</f>
        <v>ELEMENTY ULIC</v>
      </c>
      <c r="C17" s="17"/>
    </row>
    <row r="18" spans="1:3" ht="30" customHeight="1">
      <c r="A18" s="10"/>
      <c r="B18" s="119" t="str">
        <f>OFERTOWY!D59</f>
        <v>INNE ROBOTY</v>
      </c>
      <c r="C18" s="17"/>
    </row>
    <row r="19" spans="1:3" ht="30" customHeight="1">
      <c r="A19" s="10">
        <v>2</v>
      </c>
      <c r="B19" s="11" t="str">
        <f>PRZEDMIAR!A3</f>
        <v>REMONT MOSTU </v>
      </c>
      <c r="C19" s="17"/>
    </row>
    <row r="20" spans="1:3" ht="30" customHeight="1">
      <c r="A20" s="10"/>
      <c r="B20" s="119" t="str">
        <f>OFERTOWY!D65</f>
        <v>KORPUSY PODPÓR</v>
      </c>
      <c r="C20" s="17"/>
    </row>
    <row r="21" spans="1:3" ht="30" customHeight="1">
      <c r="A21" s="10"/>
      <c r="B21" s="119" t="str">
        <f>OFERTOWY!D72</f>
        <v>LOKALNE NAPRAWY POWIERZCHNI BETONOWYCH PODPÓR ZAPRAWAMI TYPU PCC NAKŁADANYMI RĘCZNIE</v>
      </c>
      <c r="C21" s="17"/>
    </row>
    <row r="22" spans="1:3" ht="30" customHeight="1">
      <c r="A22" s="10"/>
      <c r="B22" s="119" t="str">
        <f>OFERTOWY!D76</f>
        <v>USTROJE NOŚNE</v>
      </c>
      <c r="C22" s="17"/>
    </row>
    <row r="23" spans="1:3" ht="30" customHeight="1">
      <c r="A23" s="10"/>
      <c r="B23" s="119" t="str">
        <f>OFERTOWY!D84</f>
        <v>PŁYTY POMOSTU ZESPOLONE Z KONSTRUKCJĄ STALOWĄ</v>
      </c>
      <c r="C23" s="17"/>
    </row>
    <row r="24" spans="1:3" ht="30" customHeight="1">
      <c r="A24" s="10"/>
      <c r="B24" s="119" t="str">
        <f>OFERTOWY!D89</f>
        <v>KAPY CHODNIKOWE</v>
      </c>
      <c r="C24" s="17"/>
    </row>
    <row r="25" spans="1:3" ht="30" customHeight="1">
      <c r="A25" s="10"/>
      <c r="B25" s="119" t="str">
        <f>OFERTOWY!D97</f>
        <v>ŁOŻYSKA</v>
      </c>
      <c r="C25" s="17"/>
    </row>
    <row r="26" spans="1:3" ht="30" customHeight="1">
      <c r="A26" s="10"/>
      <c r="B26" s="119" t="str">
        <f>OFERTOWY!D102</f>
        <v>URZĄDZENIA DYLATACYJNE</v>
      </c>
      <c r="C26" s="17"/>
    </row>
    <row r="27" spans="1:3" ht="30" customHeight="1">
      <c r="A27" s="10"/>
      <c r="B27" s="119" t="str">
        <f>OFERTOWY!D106</f>
        <v>ODWODNIENIE</v>
      </c>
      <c r="C27" s="17"/>
    </row>
    <row r="28" spans="1:3" ht="30" customHeight="1">
      <c r="A28" s="10"/>
      <c r="B28" s="119" t="str">
        <f>OFERTOWY!D112</f>
        <v>HYDROIZOLACJA</v>
      </c>
      <c r="C28" s="17"/>
    </row>
    <row r="29" spans="1:3" ht="30" customHeight="1">
      <c r="A29" s="10"/>
      <c r="B29" s="119" t="str">
        <f>OFERTOWY!D120</f>
        <v>WYPOSAŻENIE</v>
      </c>
      <c r="C29" s="17"/>
    </row>
    <row r="30" spans="1:3" ht="30" customHeight="1">
      <c r="A30" s="10"/>
      <c r="B30" s="119" t="str">
        <f>OFERTOWY!D129</f>
        <v>ROBOTY PRZYOBIEKTOWE</v>
      </c>
      <c r="C30" s="17"/>
    </row>
    <row r="31" spans="1:3" ht="30" customHeight="1">
      <c r="A31" s="10"/>
      <c r="B31" s="119" t="str">
        <f>OFERTOWY!D140</f>
        <v>ROBOTY NAWIERZCHNIOWE I ZABEZPIECZAJĄCE</v>
      </c>
      <c r="C31" s="17"/>
    </row>
    <row r="32" spans="1:3" ht="30" customHeight="1">
      <c r="A32" s="172" t="s">
        <v>11</v>
      </c>
      <c r="B32" s="172"/>
      <c r="C32" s="17" t="str">
        <f>IF(SUM(C10:C19)=0," ",SUM(C10:C19))</f>
        <v> </v>
      </c>
    </row>
    <row r="33" spans="1:3" ht="30" customHeight="1">
      <c r="A33" s="172" t="s">
        <v>120</v>
      </c>
      <c r="B33" s="172"/>
      <c r="C33" s="17" t="str">
        <f>IF(C32=" "," ",ROUND(C32*0.23,2))</f>
        <v> </v>
      </c>
    </row>
    <row r="34" spans="1:3" ht="30" customHeight="1">
      <c r="A34" s="172" t="s">
        <v>25</v>
      </c>
      <c r="B34" s="172"/>
      <c r="C34" s="17" t="str">
        <f>IF(SUM(C32:C33)=0," ",SUM(C32:C33))</f>
        <v> </v>
      </c>
    </row>
    <row r="35" ht="30" customHeight="1"/>
    <row r="36" ht="30" customHeight="1"/>
    <row r="37" ht="30" customHeight="1"/>
  </sheetData>
  <sheetProtection/>
  <mergeCells count="6">
    <mergeCell ref="A1:C1"/>
    <mergeCell ref="A3:C3"/>
    <mergeCell ref="A5:C5"/>
    <mergeCell ref="A32:B32"/>
    <mergeCell ref="A33:B33"/>
    <mergeCell ref="A34:B34"/>
  </mergeCells>
  <printOptions/>
  <pageMargins left="0.7874015748031497" right="0.7874015748031497" top="0.984251968503937" bottom="0.984251968503937" header="0.5118110236220472" footer="0.5118110236220472"/>
  <pageSetup firstPageNumber="2" useFirstPageNumber="1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L197"/>
  <sheetViews>
    <sheetView view="pageBreakPreview" zoomScaleNormal="145" zoomScaleSheetLayoutView="100" zoomScalePageLayoutView="0" workbookViewId="0" topLeftCell="A33">
      <selection activeCell="J103" sqref="J103"/>
    </sheetView>
  </sheetViews>
  <sheetFormatPr defaultColWidth="9.00390625" defaultRowHeight="12.75"/>
  <cols>
    <col min="1" max="1" width="3.75390625" style="41" customWidth="1"/>
    <col min="2" max="2" width="13.75390625" style="41" customWidth="1"/>
    <col min="3" max="3" width="8.00390625" style="42" customWidth="1"/>
    <col min="4" max="4" width="66.875" style="43" customWidth="1"/>
    <col min="5" max="5" width="10.00390625" style="21" customWidth="1"/>
    <col min="6" max="6" width="11.125" style="71" customWidth="1"/>
    <col min="7" max="7" width="12.875" style="44" customWidth="1"/>
    <col min="8" max="8" width="12.75390625" style="44" customWidth="1"/>
    <col min="9" max="9" width="9.125" style="21" customWidth="1"/>
    <col min="10" max="10" width="15.25390625" style="21" customWidth="1"/>
    <col min="11" max="11" width="9.125" style="21" customWidth="1"/>
    <col min="12" max="12" width="10.375" style="21" customWidth="1"/>
    <col min="13" max="16384" width="9.125" style="21" customWidth="1"/>
  </cols>
  <sheetData>
    <row r="1" spans="1:8" ht="24.75" customHeight="1">
      <c r="A1" s="155" t="str">
        <f>OKŁADKA_O!A9</f>
        <v>KOSZTORYS OFERTOWY</v>
      </c>
      <c r="B1" s="156"/>
      <c r="C1" s="156"/>
      <c r="D1" s="156"/>
      <c r="E1" s="156"/>
      <c r="F1" s="156"/>
      <c r="G1" s="156"/>
      <c r="H1" s="156"/>
    </row>
    <row r="2" spans="1:8" ht="69.75" customHeight="1">
      <c r="A2" s="155" t="str">
        <f>OKŁADKA_P!A12</f>
        <v>Remont mostu do szkoły łączącego drogi na dz. Nr 1518 i Nr 2490/1 w miejscowości Jaśliska</v>
      </c>
      <c r="B2" s="156"/>
      <c r="C2" s="156"/>
      <c r="D2" s="156"/>
      <c r="E2" s="156"/>
      <c r="F2" s="156"/>
      <c r="G2" s="156"/>
      <c r="H2" s="156"/>
    </row>
    <row r="3" spans="1:8" ht="30" customHeight="1">
      <c r="A3" s="157" t="s">
        <v>261</v>
      </c>
      <c r="B3" s="158"/>
      <c r="C3" s="158"/>
      <c r="D3" s="158"/>
      <c r="E3" s="158"/>
      <c r="F3" s="158"/>
      <c r="G3" s="158"/>
      <c r="H3" s="158"/>
    </row>
    <row r="4" spans="1:8" ht="15" customHeight="1">
      <c r="A4" s="22"/>
      <c r="B4" s="22"/>
      <c r="C4" s="23"/>
      <c r="D4" s="24"/>
      <c r="E4" s="24"/>
      <c r="F4" s="68"/>
      <c r="G4" s="25"/>
      <c r="H4" s="25"/>
    </row>
    <row r="5" spans="1:8" ht="21.75" customHeight="1">
      <c r="A5" s="159" t="s">
        <v>9</v>
      </c>
      <c r="B5" s="160" t="s">
        <v>35</v>
      </c>
      <c r="C5" s="153" t="s">
        <v>36</v>
      </c>
      <c r="D5" s="151" t="s">
        <v>31</v>
      </c>
      <c r="E5" s="148" t="s">
        <v>26</v>
      </c>
      <c r="F5" s="148"/>
      <c r="G5" s="149" t="s">
        <v>29</v>
      </c>
      <c r="H5" s="149" t="s">
        <v>30</v>
      </c>
    </row>
    <row r="6" spans="1:8" ht="21.75" customHeight="1">
      <c r="A6" s="159"/>
      <c r="B6" s="160"/>
      <c r="C6" s="154"/>
      <c r="D6" s="152"/>
      <c r="E6" s="29" t="s">
        <v>27</v>
      </c>
      <c r="F6" s="64" t="s">
        <v>37</v>
      </c>
      <c r="G6" s="149"/>
      <c r="H6" s="149"/>
    </row>
    <row r="7" spans="1:8" ht="30" customHeight="1">
      <c r="A7" s="150" t="s">
        <v>43</v>
      </c>
      <c r="B7" s="150"/>
      <c r="C7" s="150"/>
      <c r="D7" s="150"/>
      <c r="E7" s="150"/>
      <c r="F7" s="150"/>
      <c r="G7" s="150"/>
      <c r="H7" s="150"/>
    </row>
    <row r="8" spans="1:8" s="110" customFormat="1" ht="30" customHeight="1">
      <c r="A8" s="66" t="str">
        <f>PRZEDMIAR!A8</f>
        <v>x</v>
      </c>
      <c r="B8" s="66" t="str">
        <f>PRZEDMIAR!B8</f>
        <v>D 01.00.00</v>
      </c>
      <c r="C8" s="66"/>
      <c r="D8" s="67" t="str">
        <f>PRZEDMIAR!D8</f>
        <v>ROBOTY PRZYGOTOWAWCZE</v>
      </c>
      <c r="E8" s="66" t="str">
        <f>PRZEDMIAR!E8</f>
        <v>x</v>
      </c>
      <c r="F8" s="59" t="str">
        <f>PRZEDMIAR!F8</f>
        <v>x</v>
      </c>
      <c r="G8" s="66" t="s">
        <v>28</v>
      </c>
      <c r="H8" s="66" t="s">
        <v>28</v>
      </c>
    </row>
    <row r="9" spans="1:12" s="65" customFormat="1" ht="30" customHeight="1">
      <c r="A9" s="18" t="str">
        <f>PRZEDMIAR!A9</f>
        <v>x</v>
      </c>
      <c r="B9" s="18" t="str">
        <f>PRZEDMIAR!B9</f>
        <v>D 01.01.01</v>
      </c>
      <c r="C9" s="18"/>
      <c r="D9" s="27" t="str">
        <f>PRZEDMIAR!D9</f>
        <v>Odtworzenie (wyznaczenie) trasy i punktów wysokościowych</v>
      </c>
      <c r="E9" s="18" t="str">
        <f>PRZEDMIAR!E9</f>
        <v>x</v>
      </c>
      <c r="F9" s="32" t="str">
        <f>PRZEDMIAR!F9</f>
        <v>x</v>
      </c>
      <c r="G9" s="18" t="s">
        <v>28</v>
      </c>
      <c r="H9" s="18" t="s">
        <v>28</v>
      </c>
      <c r="J9" s="21"/>
      <c r="K9" s="21"/>
      <c r="L9" s="21"/>
    </row>
    <row r="10" spans="1:8" ht="30" customHeight="1">
      <c r="A10" s="12">
        <f>PRZEDMIAR!A10</f>
        <v>1</v>
      </c>
      <c r="B10" s="12" t="str">
        <f>PRZEDMIAR!B10</f>
        <v>D 01.01.01</v>
      </c>
      <c r="C10" s="12">
        <f>PRZEDMIAR!C10</f>
        <v>11</v>
      </c>
      <c r="D10" s="19" t="str">
        <f>PRZEDMIAR!D10</f>
        <v>Wyznaczenie trasy i punktów wysokościowych w terenie równinnym</v>
      </c>
      <c r="E10" s="12" t="str">
        <f>PRZEDMIAR!E10</f>
        <v>km</v>
      </c>
      <c r="F10" s="20">
        <f>PRZEDMIAR!F10</f>
        <v>0.09095</v>
      </c>
      <c r="G10" s="20"/>
      <c r="H10" s="20" t="str">
        <f>IF(ROUND(F10*G10,2)=0," ",ROUND(F10*G10,2))</f>
        <v> </v>
      </c>
    </row>
    <row r="11" spans="1:12" s="65" customFormat="1" ht="30" customHeight="1">
      <c r="A11" s="18" t="str">
        <f>PRZEDMIAR!A15</f>
        <v>x</v>
      </c>
      <c r="B11" s="18" t="str">
        <f>PRZEDMIAR!B15</f>
        <v>D 01.02.03</v>
      </c>
      <c r="C11" s="18"/>
      <c r="D11" s="27" t="str">
        <f>PRZEDMIAR!D15</f>
        <v>Wyburzenie obiektów budowlanych</v>
      </c>
      <c r="E11" s="18" t="str">
        <f>PRZEDMIAR!E15</f>
        <v>x</v>
      </c>
      <c r="F11" s="32" t="str">
        <f>PRZEDMIAR!F15</f>
        <v>x</v>
      </c>
      <c r="G11" s="18" t="s">
        <v>28</v>
      </c>
      <c r="H11" s="18" t="s">
        <v>28</v>
      </c>
      <c r="J11" s="21"/>
      <c r="K11" s="21"/>
      <c r="L11" s="21"/>
    </row>
    <row r="12" spans="1:8" ht="25.5">
      <c r="A12" s="12">
        <f>PRZEDMIAR!A16</f>
        <v>2</v>
      </c>
      <c r="B12" s="12" t="str">
        <f>PRZEDMIAR!B16</f>
        <v>D 01.02.03</v>
      </c>
      <c r="C12" s="12">
        <f>PRZEDMIAR!C16</f>
        <v>11</v>
      </c>
      <c r="D12" s="19" t="str">
        <f>PRZEDMIAR!D16</f>
        <v>Rozbiórki obiektów kubaturowych wraz z odwozem elementów i gruzu na składowisko Wykonawcy - elementy betonowe i żelbetowe</v>
      </c>
      <c r="E12" s="12" t="str">
        <f>PRZEDMIAR!E16</f>
        <v>m3</v>
      </c>
      <c r="F12" s="20">
        <f>PRZEDMIAR!F16</f>
        <v>25.4</v>
      </c>
      <c r="G12" s="20"/>
      <c r="H12" s="20" t="str">
        <f>IF(ROUND(F12*G12,2)=0," ",ROUND(F12*G12,2))</f>
        <v> </v>
      </c>
    </row>
    <row r="13" spans="1:8" ht="30" customHeight="1">
      <c r="A13" s="12">
        <f>PRZEDMIAR!A19</f>
        <v>3</v>
      </c>
      <c r="B13" s="12" t="str">
        <f>PRZEDMIAR!B19</f>
        <v>D 01.02.03</v>
      </c>
      <c r="C13" s="12">
        <f>PRZEDMIAR!C19</f>
        <v>11</v>
      </c>
      <c r="D13" s="19" t="str">
        <f>PRZEDMIAR!D19</f>
        <v>Rozbiórka rusztu stalowego konstrukcji nośnej mostu (dźwigary nośne wraz z poprzecznicami) - materiał do ponownego wykorzystania</v>
      </c>
      <c r="E13" s="12" t="str">
        <f>PRZEDMIAR!E19</f>
        <v>szt.</v>
      </c>
      <c r="F13" s="20">
        <f>PRZEDMIAR!F19</f>
        <v>3</v>
      </c>
      <c r="G13" s="20"/>
      <c r="H13" s="20" t="str">
        <f>IF(ROUND(F13*G13,2)=0," ",ROUND(F13*G13,2))</f>
        <v> </v>
      </c>
    </row>
    <row r="14" spans="1:12" s="65" customFormat="1" ht="30" customHeight="1">
      <c r="A14" s="18" t="str">
        <f>PRZEDMIAR!A22</f>
        <v>x</v>
      </c>
      <c r="B14" s="18" t="str">
        <f>PRZEDMIAR!B22</f>
        <v>D 01.02.04</v>
      </c>
      <c r="C14" s="18"/>
      <c r="D14" s="27" t="str">
        <f>PRZEDMIAR!D22</f>
        <v>Rozbiórka elementów dróg, ogrodzeń i przepustów</v>
      </c>
      <c r="E14" s="18" t="str">
        <f>PRZEDMIAR!E22</f>
        <v>x</v>
      </c>
      <c r="F14" s="32" t="str">
        <f>PRZEDMIAR!F22</f>
        <v>x</v>
      </c>
      <c r="G14" s="18" t="s">
        <v>28</v>
      </c>
      <c r="H14" s="18" t="s">
        <v>28</v>
      </c>
      <c r="J14" s="21"/>
      <c r="K14" s="21"/>
      <c r="L14" s="21"/>
    </row>
    <row r="15" spans="1:8" ht="30" customHeight="1">
      <c r="A15" s="12">
        <f>PRZEDMIAR!A23</f>
        <v>4</v>
      </c>
      <c r="B15" s="12" t="str">
        <f>PRZEDMIAR!B23</f>
        <v>D 01.02.04</v>
      </c>
      <c r="C15" s="12" t="str">
        <f>PRZEDMIAR!C23</f>
        <v>11</v>
      </c>
      <c r="D15" s="19" t="str">
        <f>PRZEDMIAR!D23</f>
        <v>Rozebranie podbudowy z kruszywa o średniej grubości do 40 cm</v>
      </c>
      <c r="E15" s="12" t="str">
        <f>PRZEDMIAR!E23</f>
        <v>m2</v>
      </c>
      <c r="F15" s="20">
        <f>PRZEDMIAR!F23</f>
        <v>18</v>
      </c>
      <c r="G15" s="20"/>
      <c r="H15" s="20" t="str">
        <f>IF(ROUND(F15*G15,2)=0," ",ROUND(F15*G15,2))</f>
        <v> </v>
      </c>
    </row>
    <row r="16" spans="1:8" ht="30" customHeight="1">
      <c r="A16" s="12">
        <f>PRZEDMIAR!A26</f>
        <v>5</v>
      </c>
      <c r="B16" s="12" t="str">
        <f>PRZEDMIAR!B26</f>
        <v>D 01.02.04</v>
      </c>
      <c r="C16" s="12" t="str">
        <f>PRZEDMIAR!C26</f>
        <v>22</v>
      </c>
      <c r="D16" s="19" t="str">
        <f>PRZEDMIAR!D26</f>
        <v>Rozebranie nawierzchni z mieszanek mineralno - bitumicznych o średniej grubości 8 cm</v>
      </c>
      <c r="E16" s="12" t="str">
        <f>PRZEDMIAR!E26</f>
        <v>m2</v>
      </c>
      <c r="F16" s="20">
        <f>PRZEDMIAR!F26</f>
        <v>18</v>
      </c>
      <c r="G16" s="20"/>
      <c r="H16" s="20" t="str">
        <f>IF(ROUND(F16*G16,2)=0," ",ROUND(F16*G16,2))</f>
        <v> </v>
      </c>
    </row>
    <row r="17" spans="1:8" ht="30" customHeight="1">
      <c r="A17" s="12"/>
      <c r="B17" s="18"/>
      <c r="C17" s="26"/>
      <c r="D17" s="144" t="str">
        <f>"RAZEM: "&amp;D8&amp;""</f>
        <v>RAZEM: ROBOTY PRZYGOTOWAWCZE</v>
      </c>
      <c r="E17" s="144"/>
      <c r="F17" s="144"/>
      <c r="G17" s="144"/>
      <c r="H17" s="58" t="str">
        <f>IF(SUM(H10,H12:H13,H15:H16)=0," ",SUM(H10,H12:H13,H15:H16))</f>
        <v> </v>
      </c>
    </row>
    <row r="18" spans="1:8" s="110" customFormat="1" ht="30" customHeight="1">
      <c r="A18" s="66" t="str">
        <f>PRZEDMIAR!A30</f>
        <v>x</v>
      </c>
      <c r="B18" s="66" t="str">
        <f>PRZEDMIAR!B30</f>
        <v>D 02.00.00</v>
      </c>
      <c r="C18" s="66"/>
      <c r="D18" s="67" t="str">
        <f>PRZEDMIAR!D30</f>
        <v>ROBOTY ZIEMNE</v>
      </c>
      <c r="E18" s="66" t="str">
        <f>PRZEDMIAR!E30</f>
        <v>x</v>
      </c>
      <c r="F18" s="59" t="str">
        <f>PRZEDMIAR!F30</f>
        <v>x</v>
      </c>
      <c r="G18" s="66" t="s">
        <v>28</v>
      </c>
      <c r="H18" s="66" t="s">
        <v>28</v>
      </c>
    </row>
    <row r="19" spans="1:12" s="65" customFormat="1" ht="30" customHeight="1">
      <c r="A19" s="18" t="str">
        <f>PRZEDMIAR!A31</f>
        <v>x</v>
      </c>
      <c r="B19" s="18" t="str">
        <f>PRZEDMIAR!B31</f>
        <v>D 02.01.01</v>
      </c>
      <c r="C19" s="18"/>
      <c r="D19" s="27" t="str">
        <f>PRZEDMIAR!D31</f>
        <v>Wykonanie wykopów w gruntach kategorii I-V</v>
      </c>
      <c r="E19" s="18" t="str">
        <f>PRZEDMIAR!E31</f>
        <v>x</v>
      </c>
      <c r="F19" s="32" t="str">
        <f>PRZEDMIAR!F31</f>
        <v>x</v>
      </c>
      <c r="G19" s="18" t="s">
        <v>28</v>
      </c>
      <c r="H19" s="18" t="s">
        <v>28</v>
      </c>
      <c r="J19" s="21"/>
      <c r="K19" s="21"/>
      <c r="L19" s="21"/>
    </row>
    <row r="20" spans="1:8" ht="30" customHeight="1">
      <c r="A20" s="12">
        <f>PRZEDMIAR!A32</f>
        <v>6</v>
      </c>
      <c r="B20" s="12" t="str">
        <f>PRZEDMIAR!B32</f>
        <v>D 02.01.01</v>
      </c>
      <c r="C20" s="12" t="str">
        <f>PRZEDMIAR!C32</f>
        <v>11</v>
      </c>
      <c r="D20" s="19" t="str">
        <f>PRZEDMIAR!D32</f>
        <v>Roboty ziemne poprzeczne (bez transportu) wykonywane mechanicznie w gr. kat. I-V - wbudowanie w skarpy rzeki</v>
      </c>
      <c r="E20" s="12" t="str">
        <f>PRZEDMIAR!E32</f>
        <v>m3</v>
      </c>
      <c r="F20" s="20">
        <f>PRZEDMIAR!F32</f>
        <v>156.1</v>
      </c>
      <c r="G20" s="20"/>
      <c r="H20" s="20" t="str">
        <f>IF(ROUND(F20*G20,2)=0," ",ROUND(F20*G20,2))</f>
        <v> </v>
      </c>
    </row>
    <row r="21" spans="1:8" ht="25.5">
      <c r="A21" s="12">
        <f>PRZEDMIAR!A35</f>
        <v>7</v>
      </c>
      <c r="B21" s="12" t="str">
        <f>PRZEDMIAR!B35</f>
        <v>D 02.01.01</v>
      </c>
      <c r="C21" s="12" t="str">
        <f>PRZEDMIAR!C35</f>
        <v>12</v>
      </c>
      <c r="D21" s="19" t="str">
        <f>PRZEDMIAR!D35</f>
        <v>Wykonanie wykopów w gruntach kategorii I-V z transportem urobku na odkład/nasyp na miejsce składowe Wykonawcy</v>
      </c>
      <c r="E21" s="12" t="str">
        <f>PRZEDMIAR!E35</f>
        <v>m3</v>
      </c>
      <c r="F21" s="20">
        <f>PRZEDMIAR!F35</f>
        <v>216.00000000000003</v>
      </c>
      <c r="G21" s="20"/>
      <c r="H21" s="20" t="str">
        <f>IF(ROUND(F21*G21,2)=0," ",ROUND(F21*G21,2))</f>
        <v> </v>
      </c>
    </row>
    <row r="22" spans="1:8" ht="30" customHeight="1">
      <c r="A22" s="29"/>
      <c r="B22" s="18"/>
      <c r="C22" s="26"/>
      <c r="D22" s="144" t="str">
        <f>"RAZEM: "&amp;D18&amp;""</f>
        <v>RAZEM: ROBOTY ZIEMNE</v>
      </c>
      <c r="E22" s="144"/>
      <c r="F22" s="144"/>
      <c r="G22" s="144"/>
      <c r="H22" s="58" t="str">
        <f>IF(SUM(H20:H21)=0," ",SUM(H20:H21))</f>
        <v> </v>
      </c>
    </row>
    <row r="23" spans="1:8" s="110" customFormat="1" ht="30" customHeight="1">
      <c r="A23" s="66" t="str">
        <f>PRZEDMIAR!A41</f>
        <v>x</v>
      </c>
      <c r="B23" s="66" t="str">
        <f>PRZEDMIAR!B41</f>
        <v>D 03.00.00</v>
      </c>
      <c r="C23" s="66"/>
      <c r="D23" s="67" t="str">
        <f>PRZEDMIAR!D41</f>
        <v>ODWODNIENIE KORPUSU DROGOWEGO</v>
      </c>
      <c r="E23" s="66" t="str">
        <f>PRZEDMIAR!E41</f>
        <v>x</v>
      </c>
      <c r="F23" s="59" t="str">
        <f>PRZEDMIAR!F41</f>
        <v>x</v>
      </c>
      <c r="G23" s="66" t="s">
        <v>28</v>
      </c>
      <c r="H23" s="66" t="s">
        <v>28</v>
      </c>
    </row>
    <row r="24" spans="1:8" ht="30" customHeight="1">
      <c r="A24" s="18" t="str">
        <f>PRZEDMIAR!A42</f>
        <v>x</v>
      </c>
      <c r="B24" s="18" t="str">
        <f>PRZEDMIAR!B42</f>
        <v>D 03.02.01</v>
      </c>
      <c r="C24" s="18"/>
      <c r="D24" s="27" t="str">
        <f>PRZEDMIAR!D42</f>
        <v>Kanalizacja deszczowa</v>
      </c>
      <c r="E24" s="18" t="str">
        <f>PRZEDMIAR!E42</f>
        <v>x</v>
      </c>
      <c r="F24" s="32" t="str">
        <f>PRZEDMIAR!F42</f>
        <v>x</v>
      </c>
      <c r="G24" s="18" t="s">
        <v>28</v>
      </c>
      <c r="H24" s="18" t="s">
        <v>28</v>
      </c>
    </row>
    <row r="25" spans="1:8" ht="30" customHeight="1">
      <c r="A25" s="12">
        <f>PRZEDMIAR!A43</f>
        <v>8</v>
      </c>
      <c r="B25" s="12" t="str">
        <f>PRZEDMIAR!B43</f>
        <v>D 03.02.01</v>
      </c>
      <c r="C25" s="12" t="str">
        <f>PRZEDMIAR!C43</f>
        <v>23</v>
      </c>
      <c r="D25" s="19" t="str">
        <f>PRZEDMIAR!D43</f>
        <v>Wykonanie przykanalików z rur HDPE o średnicy 20 cm wraz z robotami ziemnymi i umocnieniem wylotu</v>
      </c>
      <c r="E25" s="12" t="str">
        <f>PRZEDMIAR!E43</f>
        <v>m</v>
      </c>
      <c r="F25" s="20">
        <f>PRZEDMIAR!F43</f>
        <v>15</v>
      </c>
      <c r="G25" s="20"/>
      <c r="H25" s="20"/>
    </row>
    <row r="26" spans="1:8" ht="30" customHeight="1">
      <c r="A26" s="12">
        <f>PRZEDMIAR!A46</f>
        <v>9</v>
      </c>
      <c r="B26" s="12" t="str">
        <f>PRZEDMIAR!B46</f>
        <v>D 03.02.01</v>
      </c>
      <c r="C26" s="12" t="str">
        <f>PRZEDMIAR!C46</f>
        <v>41</v>
      </c>
      <c r="D26" s="19" t="str">
        <f>PRZEDMIAR!D46</f>
        <v>Wykonanie (odbudowa) kompletnych studzienek ściekowych wraz z podłączeniem do nich kratek ściekowych (z kielichem i kratką ściekową)</v>
      </c>
      <c r="E26" s="12" t="str">
        <f>PRZEDMIAR!E46</f>
        <v>kpl</v>
      </c>
      <c r="F26" s="20">
        <f>PRZEDMIAR!F46</f>
        <v>1</v>
      </c>
      <c r="G26" s="20"/>
      <c r="H26" s="20"/>
    </row>
    <row r="27" spans="1:8" ht="30" customHeight="1">
      <c r="A27" s="29"/>
      <c r="B27" s="18"/>
      <c r="C27" s="26"/>
      <c r="D27" s="144" t="str">
        <f>"RAZEM: "&amp;D23&amp;""</f>
        <v>RAZEM: ODWODNIENIE KORPUSU DROGOWEGO</v>
      </c>
      <c r="E27" s="144"/>
      <c r="F27" s="144"/>
      <c r="G27" s="144"/>
      <c r="H27" s="58" t="str">
        <f>IF(SUM(H25:H26)=0," ",SUM(H25:H26))</f>
        <v> </v>
      </c>
    </row>
    <row r="28" spans="1:8" s="110" customFormat="1" ht="30" customHeight="1">
      <c r="A28" s="66" t="str">
        <f>PRZEDMIAR!A49</f>
        <v>x</v>
      </c>
      <c r="B28" s="66" t="str">
        <f>PRZEDMIAR!B49</f>
        <v>D 04.00.00</v>
      </c>
      <c r="C28" s="66"/>
      <c r="D28" s="67" t="str">
        <f>PRZEDMIAR!D49</f>
        <v>PODBUDOWY</v>
      </c>
      <c r="E28" s="66" t="str">
        <f>PRZEDMIAR!E49</f>
        <v>x</v>
      </c>
      <c r="F28" s="59" t="str">
        <f>PRZEDMIAR!F49</f>
        <v>x</v>
      </c>
      <c r="G28" s="66" t="s">
        <v>28</v>
      </c>
      <c r="H28" s="66" t="s">
        <v>28</v>
      </c>
    </row>
    <row r="29" spans="1:8" ht="30" customHeight="1">
      <c r="A29" s="18" t="str">
        <f>PRZEDMIAR!A50</f>
        <v>x</v>
      </c>
      <c r="B29" s="18" t="str">
        <f>PRZEDMIAR!B50</f>
        <v>D 04.01.01</v>
      </c>
      <c r="C29" s="18"/>
      <c r="D29" s="27" t="str">
        <f>PRZEDMIAR!D50</f>
        <v>Koryto wraz z profilowaniem i zagęszczaniem podłoża</v>
      </c>
      <c r="E29" s="18" t="str">
        <f>PRZEDMIAR!E50</f>
        <v>x</v>
      </c>
      <c r="F29" s="32" t="str">
        <f>PRZEDMIAR!F50</f>
        <v>x</v>
      </c>
      <c r="G29" s="32" t="s">
        <v>28</v>
      </c>
      <c r="H29" s="32" t="s">
        <v>28</v>
      </c>
    </row>
    <row r="30" spans="1:8" ht="30" customHeight="1">
      <c r="A30" s="12">
        <f>PRZEDMIAR!A51</f>
        <v>10</v>
      </c>
      <c r="B30" s="12" t="str">
        <f>PRZEDMIAR!B51</f>
        <v>D 04.01.01</v>
      </c>
      <c r="C30" s="12" t="str">
        <f>PRZEDMIAR!C51</f>
        <v>15</v>
      </c>
      <c r="D30" s="19" t="str">
        <f>PRZEDMIAR!D51</f>
        <v>Koryta wykonywane mechanicznie wraz z profilowaniem i zagęszczaniem podłoża w gruntach kat. I-VI, głębokość koryta 54cm</v>
      </c>
      <c r="E30" s="12" t="str">
        <f>PRZEDMIAR!E51</f>
        <v>m2</v>
      </c>
      <c r="F30" s="20">
        <f>PRZEDMIAR!F51</f>
        <v>116</v>
      </c>
      <c r="G30" s="20"/>
      <c r="H30" s="20" t="str">
        <f>IF(ROUND(F30*G30,2)=0," ",ROUND(F30*G30,2))</f>
        <v> </v>
      </c>
    </row>
    <row r="31" spans="1:8" ht="30" customHeight="1">
      <c r="A31" s="18" t="str">
        <f>PRZEDMIAR!A54</f>
        <v>x</v>
      </c>
      <c r="B31" s="18" t="str">
        <f>PRZEDMIAR!B54</f>
        <v>D 04.03.01</v>
      </c>
      <c r="C31" s="18"/>
      <c r="D31" s="27" t="str">
        <f>PRZEDMIAR!D54</f>
        <v>Oczyszczenie i skropienie warstw konstrukcyjnych</v>
      </c>
      <c r="E31" s="18" t="str">
        <f>PRZEDMIAR!E54</f>
        <v>x</v>
      </c>
      <c r="F31" s="32" t="str">
        <f>PRZEDMIAR!F54</f>
        <v>x</v>
      </c>
      <c r="G31" s="32" t="s">
        <v>28</v>
      </c>
      <c r="H31" s="32" t="s">
        <v>28</v>
      </c>
    </row>
    <row r="32" spans="1:8" ht="30" customHeight="1">
      <c r="A32" s="12">
        <f>PRZEDMIAR!A55</f>
        <v>11</v>
      </c>
      <c r="B32" s="12" t="str">
        <f>PRZEDMIAR!B55</f>
        <v>D 04.03.01</v>
      </c>
      <c r="C32" s="12" t="str">
        <f>PRZEDMIAR!C55</f>
        <v>12</v>
      </c>
      <c r="D32" s="19" t="str">
        <f>PRZEDMIAR!D55</f>
        <v>Oczyszczenie warstw konstrukcyjnych mechanicznie</v>
      </c>
      <c r="E32" s="12" t="str">
        <f>PRZEDMIAR!E55</f>
        <v>m2</v>
      </c>
      <c r="F32" s="20">
        <f>PRZEDMIAR!F55</f>
        <v>346.6</v>
      </c>
      <c r="G32" s="20"/>
      <c r="H32" s="20" t="str">
        <f>IF(ROUND(F32*G32,2)=0," ",ROUND(F32*G32,2))</f>
        <v> </v>
      </c>
    </row>
    <row r="33" spans="1:8" ht="30" customHeight="1">
      <c r="A33" s="12">
        <f>PRZEDMIAR!A61</f>
        <v>12</v>
      </c>
      <c r="B33" s="12" t="str">
        <f>PRZEDMIAR!B61</f>
        <v>D 04.03.01</v>
      </c>
      <c r="C33" s="12" t="str">
        <f>PRZEDMIAR!C61</f>
        <v>22</v>
      </c>
      <c r="D33" s="19" t="str">
        <f>PRZEDMIAR!D61</f>
        <v>Skropienie warstw konstrukcyjnych emulsją asfaltową</v>
      </c>
      <c r="E33" s="12" t="str">
        <f>PRZEDMIAR!E61</f>
        <v>m2</v>
      </c>
      <c r="F33" s="20">
        <f>PRZEDMIAR!F61</f>
        <v>346.6</v>
      </c>
      <c r="G33" s="20"/>
      <c r="H33" s="20" t="str">
        <f>IF(ROUND(F33*G33,2)=0," ",ROUND(F33*G33,2))</f>
        <v> </v>
      </c>
    </row>
    <row r="34" spans="1:8" ht="30" customHeight="1">
      <c r="A34" s="18" t="str">
        <f>PRZEDMIAR!A67</f>
        <v>x</v>
      </c>
      <c r="B34" s="18" t="str">
        <f>PRZEDMIAR!B67</f>
        <v>D 04.04.04</v>
      </c>
      <c r="C34" s="18"/>
      <c r="D34" s="27" t="str">
        <f>PRZEDMIAR!D67</f>
        <v>Podbudowa z tłucznia kamiennego</v>
      </c>
      <c r="E34" s="18" t="str">
        <f>PRZEDMIAR!E67</f>
        <v>x</v>
      </c>
      <c r="F34" s="32" t="str">
        <f>PRZEDMIAR!F67</f>
        <v>x</v>
      </c>
      <c r="G34" s="32" t="s">
        <v>28</v>
      </c>
      <c r="H34" s="32" t="s">
        <v>28</v>
      </c>
    </row>
    <row r="35" spans="1:8" ht="30" customHeight="1">
      <c r="A35" s="12">
        <f>PRZEDMIAR!A68</f>
        <v>13</v>
      </c>
      <c r="B35" s="12" t="str">
        <f>PRZEDMIAR!B68</f>
        <v>D 04.04.04</v>
      </c>
      <c r="C35" s="12" t="str">
        <f>PRZEDMIAR!C68</f>
        <v>24</v>
      </c>
      <c r="D35" s="19" t="str">
        <f>PRZEDMIAR!D68</f>
        <v>Wykonanie podbudowy z tłucznia kamiennego 0/31,5, gr. w-wy 20cm</v>
      </c>
      <c r="E35" s="12" t="str">
        <f>PRZEDMIAR!E68</f>
        <v>m2</v>
      </c>
      <c r="F35" s="20">
        <f>PRZEDMIAR!F68</f>
        <v>138.60000000000002</v>
      </c>
      <c r="G35" s="20"/>
      <c r="H35" s="20" t="str">
        <f>IF(ROUND(F35*G35,2)=0," ",ROUND(F35*G35,2))</f>
        <v> </v>
      </c>
    </row>
    <row r="36" spans="1:8" ht="30" customHeight="1">
      <c r="A36" s="29"/>
      <c r="B36" s="18"/>
      <c r="C36" s="26"/>
      <c r="D36" s="144" t="str">
        <f>"RAZEM: "&amp;D28&amp;""</f>
        <v>RAZEM: PODBUDOWY</v>
      </c>
      <c r="E36" s="144"/>
      <c r="F36" s="144"/>
      <c r="G36" s="144"/>
      <c r="H36" s="58" t="str">
        <f>IF(SUM(H30,H32:H33,H35)=0," ",SUM(H30,H32:H33,H35))</f>
        <v> </v>
      </c>
    </row>
    <row r="37" spans="1:8" s="110" customFormat="1" ht="30" customHeight="1">
      <c r="A37" s="66" t="str">
        <f>PRZEDMIAR!A72</f>
        <v>x</v>
      </c>
      <c r="B37" s="66" t="str">
        <f>PRZEDMIAR!B72</f>
        <v>D 05.00.00</v>
      </c>
      <c r="C37" s="66"/>
      <c r="D37" s="67" t="str">
        <f>PRZEDMIAR!D72</f>
        <v>NAWIERZCHNIE</v>
      </c>
      <c r="E37" s="66" t="str">
        <f>PRZEDMIAR!E72</f>
        <v>x</v>
      </c>
      <c r="F37" s="59" t="str">
        <f>PRZEDMIAR!F72</f>
        <v>x</v>
      </c>
      <c r="G37" s="66" t="s">
        <v>28</v>
      </c>
      <c r="H37" s="66" t="s">
        <v>28</v>
      </c>
    </row>
    <row r="38" spans="1:8" ht="30" customHeight="1">
      <c r="A38" s="18" t="str">
        <f>PRZEDMIAR!A73</f>
        <v>x</v>
      </c>
      <c r="B38" s="18" t="str">
        <f>PRZEDMIAR!B73</f>
        <v>D 05.03.05</v>
      </c>
      <c r="C38" s="18"/>
      <c r="D38" s="27" t="str">
        <f>PRZEDMIAR!D73</f>
        <v>Nawierzchnia z betonu asfaltowego</v>
      </c>
      <c r="E38" s="18" t="str">
        <f>PRZEDMIAR!E73</f>
        <v>x</v>
      </c>
      <c r="F38" s="32" t="str">
        <f>PRZEDMIAR!F73</f>
        <v>x</v>
      </c>
      <c r="G38" s="32" t="s">
        <v>28</v>
      </c>
      <c r="H38" s="32" t="s">
        <v>28</v>
      </c>
    </row>
    <row r="39" spans="1:8" ht="30" customHeight="1">
      <c r="A39" s="12">
        <f>PRZEDMIAR!A74</f>
        <v>14</v>
      </c>
      <c r="B39" s="12" t="str">
        <f>PRZEDMIAR!B74</f>
        <v>D 05.03.05</v>
      </c>
      <c r="C39" s="12" t="str">
        <f>PRZEDMIAR!C74</f>
        <v>13</v>
      </c>
      <c r="D39" s="19" t="str">
        <f>PRZEDMIAR!D74</f>
        <v>Wykonanie nawierzchni z betonu asfaltowego o uziarnieniu 0/16 warstwa wiążąca, wzmacniająca gr. w-wy 4 cm</v>
      </c>
      <c r="E39" s="12" t="str">
        <f>PRZEDMIAR!E74</f>
        <v>m2</v>
      </c>
      <c r="F39" s="20">
        <f>PRZEDMIAR!F74</f>
        <v>37.6</v>
      </c>
      <c r="G39" s="20"/>
      <c r="H39" s="20"/>
    </row>
    <row r="40" spans="1:8" ht="30" customHeight="1">
      <c r="A40" s="12">
        <f>PRZEDMIAR!A77</f>
        <v>15</v>
      </c>
      <c r="B40" s="12" t="str">
        <f>PRZEDMIAR!B77</f>
        <v>D 05.03.05</v>
      </c>
      <c r="C40" s="12" t="str">
        <f>PRZEDMIAR!C77</f>
        <v>17</v>
      </c>
      <c r="D40" s="19" t="str">
        <f>PRZEDMIAR!D77</f>
        <v>Wykonanie nawierzchni z betonu asfaltowego o uziarnieniu 0/16 warstwa wiążąca, wzmacniająca gr. w-wy 7 cm</v>
      </c>
      <c r="E40" s="12" t="str">
        <f>PRZEDMIAR!E77</f>
        <v>m2</v>
      </c>
      <c r="F40" s="20">
        <f>PRZEDMIAR!F77</f>
        <v>91.4</v>
      </c>
      <c r="G40" s="20"/>
      <c r="H40" s="20"/>
    </row>
    <row r="41" spans="1:8" ht="30" customHeight="1">
      <c r="A41" s="12">
        <f>PRZEDMIAR!A80</f>
        <v>16</v>
      </c>
      <c r="B41" s="12" t="str">
        <f>PRZEDMIAR!B80</f>
        <v>D 05.03.05</v>
      </c>
      <c r="C41" s="12" t="str">
        <f>PRZEDMIAR!C80</f>
        <v>26</v>
      </c>
      <c r="D41" s="19" t="str">
        <f>PRZEDMIAR!D80</f>
        <v>Wykonanie nawierzchni z betonu asfaltowego o uziarnieniu 0/12,8 warstwa ścieralna na moście i dojazdach gr. w-wy 4 cm</v>
      </c>
      <c r="E41" s="12" t="str">
        <f>PRZEDMIAR!E80</f>
        <v>m2</v>
      </c>
      <c r="F41" s="20">
        <f>PRZEDMIAR!F80</f>
        <v>246</v>
      </c>
      <c r="G41" s="20"/>
      <c r="H41" s="20"/>
    </row>
    <row r="42" spans="1:8" ht="30" customHeight="1">
      <c r="A42" s="29"/>
      <c r="B42" s="18"/>
      <c r="C42" s="26"/>
      <c r="D42" s="144" t="str">
        <f>"RAZEM: "&amp;D37&amp;""</f>
        <v>RAZEM: NAWIERZCHNIE</v>
      </c>
      <c r="E42" s="144"/>
      <c r="F42" s="144"/>
      <c r="G42" s="144"/>
      <c r="H42" s="58" t="str">
        <f>IF(SUM(H41)=0," ",SUM(H41))</f>
        <v> </v>
      </c>
    </row>
    <row r="43" spans="1:8" s="110" customFormat="1" ht="30" customHeight="1">
      <c r="A43" s="66" t="str">
        <f>PRZEDMIAR!A84</f>
        <v>x</v>
      </c>
      <c r="B43" s="66" t="str">
        <f>PRZEDMIAR!B84</f>
        <v>D 07.00.00</v>
      </c>
      <c r="C43" s="66"/>
      <c r="D43" s="67" t="str">
        <f>PRZEDMIAR!D84</f>
        <v>OZNAKOWANIE I URZĄDZENIA BEZPIECZEŃSTWA RUCHU</v>
      </c>
      <c r="E43" s="66" t="str">
        <f>PRZEDMIAR!E84</f>
        <v>x</v>
      </c>
      <c r="F43" s="59" t="str">
        <f>PRZEDMIAR!F84</f>
        <v>x</v>
      </c>
      <c r="G43" s="66" t="s">
        <v>28</v>
      </c>
      <c r="H43" s="66" t="s">
        <v>28</v>
      </c>
    </row>
    <row r="44" spans="1:8" ht="30" customHeight="1">
      <c r="A44" s="18" t="str">
        <f>PRZEDMIAR!A85</f>
        <v>x</v>
      </c>
      <c r="B44" s="18" t="str">
        <f>PRZEDMIAR!B85</f>
        <v>D 07.05.01</v>
      </c>
      <c r="C44" s="18"/>
      <c r="D44" s="27" t="str">
        <f>PRZEDMIAR!D85</f>
        <v>Bariery ochronne stalowe</v>
      </c>
      <c r="E44" s="18" t="str">
        <f>PRZEDMIAR!E85</f>
        <v>x</v>
      </c>
      <c r="F44" s="32" t="str">
        <f>PRZEDMIAR!F85</f>
        <v>x</v>
      </c>
      <c r="G44" s="32" t="s">
        <v>28</v>
      </c>
      <c r="H44" s="32" t="s">
        <v>28</v>
      </c>
    </row>
    <row r="45" spans="1:8" ht="30" customHeight="1">
      <c r="A45" s="12">
        <f>PRZEDMIAR!A86</f>
        <v>17</v>
      </c>
      <c r="B45" s="12" t="str">
        <f>PRZEDMIAR!B86</f>
        <v>D 07.05.01</v>
      </c>
      <c r="C45" s="12">
        <f>PRZEDMIAR!C86</f>
        <v>11</v>
      </c>
      <c r="D45" s="19" t="str">
        <f>PRZEDMIAR!D86</f>
        <v>Ustawienie barier ochronnych stalowych jednostronnych - przekładkowych typu SP-04</v>
      </c>
      <c r="E45" s="12" t="str">
        <f>PRZEDMIAR!E86</f>
        <v>m</v>
      </c>
      <c r="F45" s="20">
        <f>PRZEDMIAR!F86</f>
        <v>24</v>
      </c>
      <c r="G45" s="20"/>
      <c r="H45" s="20" t="str">
        <f>IF(ROUND(F45*G45,2)=0," ",ROUND(F45*G45,2))</f>
        <v> </v>
      </c>
    </row>
    <row r="46" spans="1:8" ht="30" customHeight="1">
      <c r="A46" s="18" t="str">
        <f>PRZEDMIAR!A89</f>
        <v>x</v>
      </c>
      <c r="B46" s="18" t="str">
        <f>PRZEDMIAR!B89</f>
        <v>D 07.06.02</v>
      </c>
      <c r="C46" s="18"/>
      <c r="D46" s="27" t="str">
        <f>PRZEDMIAR!D89</f>
        <v>Urządzenia zabezpieczające ruch pieszych</v>
      </c>
      <c r="E46" s="18" t="str">
        <f>PRZEDMIAR!E89</f>
        <v>x</v>
      </c>
      <c r="F46" s="32" t="str">
        <f>PRZEDMIAR!F89</f>
        <v>x</v>
      </c>
      <c r="G46" s="18" t="s">
        <v>28</v>
      </c>
      <c r="H46" s="18" t="s">
        <v>28</v>
      </c>
    </row>
    <row r="47" spans="1:8" ht="30" customHeight="1">
      <c r="A47" s="12">
        <f>PRZEDMIAR!A90</f>
        <v>18</v>
      </c>
      <c r="B47" s="12" t="str">
        <f>PRZEDMIAR!B90</f>
        <v>D 07.06.02</v>
      </c>
      <c r="C47" s="12" t="str">
        <f>PRZEDMIAR!C90</f>
        <v>12</v>
      </c>
      <c r="D47" s="19" t="str">
        <f>PRZEDMIAR!D90</f>
        <v>Ustawienie ogrodzeń ochronnych typu U-12a typu rurowo - prętowego wraz z zamocowaniem w podłożu w fundamencie betonowym. </v>
      </c>
      <c r="E47" s="12" t="str">
        <f>PRZEDMIAR!E90</f>
        <v>m</v>
      </c>
      <c r="F47" s="20">
        <f>PRZEDMIAR!F90</f>
        <v>20</v>
      </c>
      <c r="G47" s="20"/>
      <c r="H47" s="20"/>
    </row>
    <row r="48" spans="1:8" ht="30" customHeight="1">
      <c r="A48" s="29"/>
      <c r="B48" s="18"/>
      <c r="C48" s="26"/>
      <c r="D48" s="144" t="str">
        <f>"RAZEM: "&amp;D43&amp;""</f>
        <v>RAZEM: OZNAKOWANIE I URZĄDZENIA BEZPIECZEŃSTWA RUCHU</v>
      </c>
      <c r="E48" s="144"/>
      <c r="F48" s="144"/>
      <c r="G48" s="144"/>
      <c r="H48" s="58" t="str">
        <f>IF(SUM(H45,H47)=0," ",SUM(H45,H47))</f>
        <v> </v>
      </c>
    </row>
    <row r="49" spans="1:8" s="110" customFormat="1" ht="30" customHeight="1">
      <c r="A49" s="66" t="str">
        <f>PRZEDMIAR!A93</f>
        <v>x</v>
      </c>
      <c r="B49" s="66" t="str">
        <f>PRZEDMIAR!B93</f>
        <v>D 08.00.00</v>
      </c>
      <c r="C49" s="66"/>
      <c r="D49" s="67" t="str">
        <f>PRZEDMIAR!D93</f>
        <v>ELEMENTY ULIC</v>
      </c>
      <c r="E49" s="66" t="str">
        <f>PRZEDMIAR!E93</f>
        <v>x</v>
      </c>
      <c r="F49" s="59" t="str">
        <f>PRZEDMIAR!F93</f>
        <v>x</v>
      </c>
      <c r="G49" s="66" t="s">
        <v>28</v>
      </c>
      <c r="H49" s="66" t="s">
        <v>28</v>
      </c>
    </row>
    <row r="50" spans="1:9" ht="30" customHeight="1">
      <c r="A50" s="18" t="str">
        <f>PRZEDMIAR!A94</f>
        <v>x</v>
      </c>
      <c r="B50" s="18" t="str">
        <f>PRZEDMIAR!B94</f>
        <v>D 08.01.01</v>
      </c>
      <c r="C50" s="18"/>
      <c r="D50" s="27" t="str">
        <f>PRZEDMIAR!D94</f>
        <v>Krawężniki betonowe</v>
      </c>
      <c r="E50" s="18" t="str">
        <f>PRZEDMIAR!E94</f>
        <v>x</v>
      </c>
      <c r="F50" s="32" t="str">
        <f>PRZEDMIAR!F94</f>
        <v>x</v>
      </c>
      <c r="G50" s="32" t="s">
        <v>28</v>
      </c>
      <c r="H50" s="32" t="s">
        <v>28</v>
      </c>
      <c r="I50" s="65"/>
    </row>
    <row r="51" spans="1:8" ht="30" customHeight="1">
      <c r="A51" s="12">
        <f>PRZEDMIAR!A95</f>
        <v>19</v>
      </c>
      <c r="B51" s="12" t="str">
        <f>PRZEDMIAR!B95</f>
        <v>D 08.01.02</v>
      </c>
      <c r="C51" s="12" t="str">
        <f>PRZEDMIAR!C95</f>
        <v>12</v>
      </c>
      <c r="D51" s="19" t="str">
        <f>PRZEDMIAR!D95</f>
        <v>Ustawienie krawężników betonowych o wymiarach 20x30cm na ławie betonowej z oporem</v>
      </c>
      <c r="E51" s="12" t="str">
        <f>PRZEDMIAR!E95</f>
        <v>m</v>
      </c>
      <c r="F51" s="20">
        <f>PRZEDMIAR!F95</f>
        <v>6</v>
      </c>
      <c r="G51" s="20"/>
      <c r="H51" s="20" t="str">
        <f>IF(ROUND(F51*G51,2)=0," ",ROUND(F51*G51,2))</f>
        <v> </v>
      </c>
    </row>
    <row r="52" spans="1:8" ht="30" customHeight="1">
      <c r="A52" s="18" t="str">
        <f>PRZEDMIAR!A98</f>
        <v>x</v>
      </c>
      <c r="B52" s="18" t="str">
        <f>PRZEDMIAR!B98</f>
        <v>D 08.02.02</v>
      </c>
      <c r="C52" s="18"/>
      <c r="D52" s="27" t="str">
        <f>PRZEDMIAR!D98</f>
        <v>Chodniki z brukowej kostki betonowej</v>
      </c>
      <c r="E52" s="18" t="str">
        <f>PRZEDMIAR!E98</f>
        <v>x</v>
      </c>
      <c r="F52" s="32" t="str">
        <f>PRZEDMIAR!F98</f>
        <v>x</v>
      </c>
      <c r="G52" s="18" t="s">
        <v>28</v>
      </c>
      <c r="H52" s="18" t="s">
        <v>28</v>
      </c>
    </row>
    <row r="53" spans="1:8" ht="30" customHeight="1">
      <c r="A53" s="12">
        <f>PRZEDMIAR!A99</f>
        <v>20</v>
      </c>
      <c r="B53" s="12" t="str">
        <f>PRZEDMIAR!B99</f>
        <v>D 08.02.02</v>
      </c>
      <c r="C53" s="12">
        <f>PRZEDMIAR!C99</f>
        <v>11</v>
      </c>
      <c r="D53" s="19" t="str">
        <f>PRZEDMIAR!D99</f>
        <v>Wykonanie chodników z kostki brukowej betonowej grubości 6cm prostokątnej</v>
      </c>
      <c r="E53" s="12" t="str">
        <f>PRZEDMIAR!E99</f>
        <v>m2</v>
      </c>
      <c r="F53" s="20">
        <f>PRZEDMIAR!F99</f>
        <v>5</v>
      </c>
      <c r="G53" s="20"/>
      <c r="H53" s="20" t="str">
        <f>IF(ROUND(F53*G53,2)=0," ",ROUND(F53*G53,2))</f>
        <v> </v>
      </c>
    </row>
    <row r="54" spans="1:8" ht="30" customHeight="1">
      <c r="A54" s="18" t="str">
        <f>PRZEDMIAR!A102</f>
        <v>x</v>
      </c>
      <c r="B54" s="18" t="str">
        <f>PRZEDMIAR!B102</f>
        <v>D 08.03.01</v>
      </c>
      <c r="C54" s="18"/>
      <c r="D54" s="27" t="str">
        <f>PRZEDMIAR!D102</f>
        <v>Obrzeża betonowe</v>
      </c>
      <c r="E54" s="18" t="str">
        <f>PRZEDMIAR!E102</f>
        <v>x</v>
      </c>
      <c r="F54" s="32" t="str">
        <f>PRZEDMIAR!F102</f>
        <v>x</v>
      </c>
      <c r="G54" s="18" t="s">
        <v>28</v>
      </c>
      <c r="H54" s="18" t="s">
        <v>28</v>
      </c>
    </row>
    <row r="55" spans="1:8" ht="25.5">
      <c r="A55" s="12">
        <f>PRZEDMIAR!A103</f>
        <v>21</v>
      </c>
      <c r="B55" s="12" t="str">
        <f>PRZEDMIAR!B103</f>
        <v>D 08.03.01</v>
      </c>
      <c r="C55" s="12">
        <f>PRZEDMIAR!C103</f>
        <v>12</v>
      </c>
      <c r="D55" s="19" t="str">
        <f>PRZEDMIAR!D103</f>
        <v>Ustawienie obrzeży betonowych w wymiarach 8x30cm na podsypce cementowo - piaskowej 1:4 gr. 3cm oraz ławie oporowej z betonu C12/15</v>
      </c>
      <c r="E55" s="12" t="str">
        <f>PRZEDMIAR!E103</f>
        <v>m</v>
      </c>
      <c r="F55" s="20">
        <f>PRZEDMIAR!F103</f>
        <v>8.5</v>
      </c>
      <c r="G55" s="20"/>
      <c r="H55" s="20" t="str">
        <f>IF(ROUND(F55*G55,2)=0," ",ROUND(F55*G55,2))</f>
        <v> </v>
      </c>
    </row>
    <row r="56" spans="1:8" ht="30" customHeight="1">
      <c r="A56" s="18" t="str">
        <f>PRZEDMIAR!A106</f>
        <v>x</v>
      </c>
      <c r="B56" s="18" t="str">
        <f>PRZEDMIAR!B106</f>
        <v>D 08.05.01</v>
      </c>
      <c r="C56" s="18"/>
      <c r="D56" s="27" t="str">
        <f>PRZEDMIAR!D106</f>
        <v>Ścieki z prefabrykowanych elementów betonowych 60x50x15</v>
      </c>
      <c r="E56" s="18" t="str">
        <f>PRZEDMIAR!E106</f>
        <v>x</v>
      </c>
      <c r="F56" s="32" t="str">
        <f>PRZEDMIAR!F106</f>
        <v>x</v>
      </c>
      <c r="G56" s="18" t="s">
        <v>28</v>
      </c>
      <c r="H56" s="18" t="s">
        <v>28</v>
      </c>
    </row>
    <row r="57" spans="1:8" ht="30" customHeight="1">
      <c r="A57" s="12">
        <f>PRZEDMIAR!A107</f>
        <v>22</v>
      </c>
      <c r="B57" s="12" t="str">
        <f>PRZEDMIAR!B107</f>
        <v>D 08.05.01</v>
      </c>
      <c r="C57" s="12" t="str">
        <f>PRZEDMIAR!C107</f>
        <v>11</v>
      </c>
      <c r="D57" s="19" t="str">
        <f>PRZEDMIAR!D107</f>
        <v>Ścieki z prefabrykowanych elementów betonowych 60x50x15 cm</v>
      </c>
      <c r="E57" s="12" t="str">
        <f>PRZEDMIAR!E107</f>
        <v>m</v>
      </c>
      <c r="F57" s="20">
        <f>PRZEDMIAR!F107</f>
        <v>25</v>
      </c>
      <c r="G57" s="20"/>
      <c r="H57" s="20"/>
    </row>
    <row r="58" spans="1:8" ht="30" customHeight="1">
      <c r="A58" s="29"/>
      <c r="B58" s="18"/>
      <c r="C58" s="26"/>
      <c r="D58" s="144" t="str">
        <f>"RAZEM: "&amp;D49&amp;""</f>
        <v>RAZEM: ELEMENTY ULIC</v>
      </c>
      <c r="E58" s="144"/>
      <c r="F58" s="144"/>
      <c r="G58" s="144"/>
      <c r="H58" s="58" t="str">
        <f>IF(SUM(H51,H53,H55,H57)=0," ",SUM(H51,H53,H55,H57))</f>
        <v> </v>
      </c>
    </row>
    <row r="59" spans="1:8" s="110" customFormat="1" ht="30" customHeight="1">
      <c r="A59" s="66" t="str">
        <f>PRZEDMIAR!A110</f>
        <v>x</v>
      </c>
      <c r="B59" s="66" t="str">
        <f>PRZEDMIAR!B110</f>
        <v>D 10.00.00</v>
      </c>
      <c r="C59" s="66"/>
      <c r="D59" s="67" t="str">
        <f>PRZEDMIAR!D110</f>
        <v>INNE ROBOTY</v>
      </c>
      <c r="E59" s="66" t="str">
        <f>PRZEDMIAR!E110</f>
        <v>x</v>
      </c>
      <c r="F59" s="59" t="str">
        <f>PRZEDMIAR!F110</f>
        <v>x</v>
      </c>
      <c r="G59" s="66" t="s">
        <v>28</v>
      </c>
      <c r="H59" s="66" t="s">
        <v>28</v>
      </c>
    </row>
    <row r="60" spans="1:8" ht="30" customHeight="1">
      <c r="A60" s="18" t="str">
        <f>PRZEDMIAR!A111</f>
        <v>x</v>
      </c>
      <c r="B60" s="18" t="str">
        <f>PRZEDMIAR!B111</f>
        <v>D 10.07.01</v>
      </c>
      <c r="C60" s="18"/>
      <c r="D60" s="27" t="str">
        <f>PRZEDMIAR!D111</f>
        <v>Zjazdy do gospodarstw i na drogi boczne</v>
      </c>
      <c r="E60" s="18" t="str">
        <f>PRZEDMIAR!E111</f>
        <v>x</v>
      </c>
      <c r="F60" s="32" t="str">
        <f>PRZEDMIAR!F111</f>
        <v>x</v>
      </c>
      <c r="G60" s="18" t="s">
        <v>28</v>
      </c>
      <c r="H60" s="18" t="s">
        <v>28</v>
      </c>
    </row>
    <row r="61" spans="1:8" ht="30" customHeight="1">
      <c r="A61" s="12">
        <f>PRZEDMIAR!A112</f>
        <v>23</v>
      </c>
      <c r="B61" s="12" t="str">
        <f>PRZEDMIAR!B112</f>
        <v>D 10.07.01</v>
      </c>
      <c r="C61" s="12" t="str">
        <f>PRZEDMIAR!C112</f>
        <v>21</v>
      </c>
      <c r="D61" s="19" t="str">
        <f>PRZEDMIAR!D112</f>
        <v>Wykonanie zjazdów na drogi boczne z nawierzchnią utwardzoną z kruszywa łamanego 0/31,5 o grubości 20 cm</v>
      </c>
      <c r="E61" s="12" t="str">
        <f>PRZEDMIAR!E112</f>
        <v>m2</v>
      </c>
      <c r="F61" s="20">
        <f>PRZEDMIAR!F112</f>
        <v>40</v>
      </c>
      <c r="G61" s="20"/>
      <c r="H61" s="20"/>
    </row>
    <row r="62" spans="1:8" ht="30" customHeight="1">
      <c r="A62" s="29"/>
      <c r="B62" s="29"/>
      <c r="C62" s="30"/>
      <c r="D62" s="144" t="str">
        <f>"RAZEM: "&amp;D59&amp;""</f>
        <v>RAZEM: INNE ROBOTY</v>
      </c>
      <c r="E62" s="144"/>
      <c r="F62" s="144"/>
      <c r="G62" s="144"/>
      <c r="H62" s="58" t="str">
        <f>IF(SUM(H61)=0," ",SUM(H61))</f>
        <v> </v>
      </c>
    </row>
    <row r="63" spans="1:8" ht="30" customHeight="1">
      <c r="A63" s="145" t="s">
        <v>48</v>
      </c>
      <c r="B63" s="145"/>
      <c r="C63" s="145"/>
      <c r="D63" s="145"/>
      <c r="E63" s="145"/>
      <c r="F63" s="145"/>
      <c r="G63" s="145"/>
      <c r="H63" s="59" t="str">
        <f>IF(SUM(H62,H58,H48,H42,H36,H27,H22,H17)=0," ",SUM(H62,H58,H48,H42,H36,H27,H22,H17))</f>
        <v> </v>
      </c>
    </row>
    <row r="64" spans="1:8" ht="30" customHeight="1">
      <c r="A64" s="147" t="s">
        <v>49</v>
      </c>
      <c r="B64" s="147"/>
      <c r="C64" s="147"/>
      <c r="D64" s="147"/>
      <c r="E64" s="147"/>
      <c r="F64" s="147"/>
      <c r="G64" s="147"/>
      <c r="H64" s="147"/>
    </row>
    <row r="65" spans="1:8" s="110" customFormat="1" ht="30" customHeight="1">
      <c r="A65" s="66" t="str">
        <f>PRZEDMIAR!A118</f>
        <v>x</v>
      </c>
      <c r="B65" s="66" t="str">
        <f>PRZEDMIAR!B118</f>
        <v>M 22.00.00</v>
      </c>
      <c r="C65" s="66"/>
      <c r="D65" s="67" t="str">
        <f>PRZEDMIAR!D118</f>
        <v>KORPUSY PODPÓR</v>
      </c>
      <c r="E65" s="66" t="str">
        <f>PRZEDMIAR!E118</f>
        <v>x</v>
      </c>
      <c r="F65" s="59" t="str">
        <f>PRZEDMIAR!F118</f>
        <v>x</v>
      </c>
      <c r="G65" s="66" t="s">
        <v>28</v>
      </c>
      <c r="H65" s="66" t="s">
        <v>28</v>
      </c>
    </row>
    <row r="66" spans="1:8" s="110" customFormat="1" ht="30" customHeight="1">
      <c r="A66" s="66" t="str">
        <f>PRZEDMIAR!A119</f>
        <v>x</v>
      </c>
      <c r="B66" s="66" t="str">
        <f>PRZEDMIAR!B119</f>
        <v>M 22.51.00</v>
      </c>
      <c r="C66" s="66"/>
      <c r="D66" s="67" t="str">
        <f>PRZEDMIAR!D119</f>
        <v>PODPORY I KONSTRUKCJE OPOROWE Z BETONU</v>
      </c>
      <c r="E66" s="66" t="str">
        <f>PRZEDMIAR!E119</f>
        <v>x</v>
      </c>
      <c r="F66" s="59" t="str">
        <f>PRZEDMIAR!F119</f>
        <v>x</v>
      </c>
      <c r="G66" s="66" t="s">
        <v>28</v>
      </c>
      <c r="H66" s="66" t="s">
        <v>28</v>
      </c>
    </row>
    <row r="67" spans="1:8" ht="30" customHeight="1">
      <c r="A67" s="56" t="str">
        <f>PRZEDMIAR!A120</f>
        <v>x</v>
      </c>
      <c r="B67" s="56" t="str">
        <f>PRZEDMIAR!B120</f>
        <v>M 22.51.01</v>
      </c>
      <c r="C67" s="56"/>
      <c r="D67" s="57" t="str">
        <f>PRZEDMIAR!D120</f>
        <v>WZMOCNIENIE PODPORY PRZEZ ZWIĘKSZENIE JEJ WYMIARÓW</v>
      </c>
      <c r="E67" s="56" t="str">
        <f>PRZEDMIAR!E120</f>
        <v>x</v>
      </c>
      <c r="F67" s="69" t="str">
        <f>PRZEDMIAR!F120</f>
        <v>x</v>
      </c>
      <c r="G67" s="18" t="s">
        <v>28</v>
      </c>
      <c r="H67" s="18" t="s">
        <v>28</v>
      </c>
    </row>
    <row r="68" spans="1:8" ht="30" customHeight="1">
      <c r="A68" s="12">
        <f>PRZEDMIAR!A121</f>
        <v>24</v>
      </c>
      <c r="B68" s="12" t="str">
        <f>PRZEDMIAR!B121</f>
        <v>M 22.51.01</v>
      </c>
      <c r="C68" s="12" t="str">
        <f>PRZEDMIAR!C121</f>
        <v>33</v>
      </c>
      <c r="D68" s="19" t="str">
        <f>PRZEDMIAR!D121</f>
        <v>Wykonanie wzmocnienia podpory z betonu C30/37 (B35) - nad wodą wraz z deskowaniem i pielęgnacją</v>
      </c>
      <c r="E68" s="12" t="str">
        <f>PRZEDMIAR!E121</f>
        <v>m3</v>
      </c>
      <c r="F68" s="20">
        <f>PRZEDMIAR!F121</f>
        <v>8</v>
      </c>
      <c r="G68" s="20"/>
      <c r="H68" s="20"/>
    </row>
    <row r="69" spans="1:8" ht="25.5">
      <c r="A69" s="12">
        <f>PRZEDMIAR!A124</f>
        <v>25</v>
      </c>
      <c r="B69" s="12" t="str">
        <f>PRZEDMIAR!B124</f>
        <v>M 22.51.01</v>
      </c>
      <c r="C69" s="12" t="str">
        <f>PRZEDMIAR!C124</f>
        <v>34</v>
      </c>
      <c r="D69" s="19" t="str">
        <f>PRZEDMIAR!D124</f>
        <v>Wywiercenie otworów i osadzenie kotew stalowych o średnicy 20 mm na kleju na bazie żywic epoksydowych</v>
      </c>
      <c r="E69" s="12" t="str">
        <f>PRZEDMIAR!E124</f>
        <v>m</v>
      </c>
      <c r="F69" s="20">
        <f>PRZEDMIAR!F124</f>
        <v>24.32</v>
      </c>
      <c r="G69" s="20"/>
      <c r="H69" s="20"/>
    </row>
    <row r="70" spans="1:8" ht="30" customHeight="1">
      <c r="A70" s="12">
        <f>PRZEDMIAR!A127</f>
        <v>26</v>
      </c>
      <c r="B70" s="12" t="str">
        <f>PRZEDMIAR!B127</f>
        <v>M 22.51.01</v>
      </c>
      <c r="C70" s="12" t="str">
        <f>PRZEDMIAR!C127</f>
        <v>96</v>
      </c>
      <c r="D70" s="19" t="str">
        <f>PRZEDMIAR!D127</f>
        <v>Zakup, transport  i montaż zbrojenia ze stali kl. A-III</v>
      </c>
      <c r="E70" s="12" t="str">
        <f>PRZEDMIAR!E127</f>
        <v>kg</v>
      </c>
      <c r="F70" s="20">
        <f>PRZEDMIAR!F127</f>
        <v>1362.1</v>
      </c>
      <c r="G70" s="20"/>
      <c r="H70" s="20"/>
    </row>
    <row r="71" spans="1:8" ht="30" customHeight="1">
      <c r="A71" s="29"/>
      <c r="B71" s="29"/>
      <c r="C71" s="30"/>
      <c r="D71" s="144" t="str">
        <f>"RAZEM: "&amp;D65&amp;""</f>
        <v>RAZEM: KORPUSY PODPÓR</v>
      </c>
      <c r="E71" s="144"/>
      <c r="F71" s="144"/>
      <c r="G71" s="144"/>
      <c r="H71" s="58" t="str">
        <f>IF(SUM(H68:H70)=0," ",SUM(H68:H70))</f>
        <v> </v>
      </c>
    </row>
    <row r="72" spans="1:8" s="110" customFormat="1" ht="30" customHeight="1">
      <c r="A72" s="66" t="str">
        <f>PRZEDMIAR!A130</f>
        <v>x</v>
      </c>
      <c r="B72" s="66" t="str">
        <f>PRZEDMIAR!B130</f>
        <v>M 22.51.20</v>
      </c>
      <c r="C72" s="66"/>
      <c r="D72" s="67" t="str">
        <f>PRZEDMIAR!D130</f>
        <v>LOKALNE NAPRAWY POWIERZCHNI BETONOWYCH PODPÓR ZAPRAWAMI TYPU PCC NAKŁADANYMI RĘCZNIE</v>
      </c>
      <c r="E72" s="66" t="str">
        <f>PRZEDMIAR!E130</f>
        <v>x</v>
      </c>
      <c r="F72" s="59" t="str">
        <f>PRZEDMIAR!F130</f>
        <v>x</v>
      </c>
      <c r="G72" s="66" t="s">
        <v>28</v>
      </c>
      <c r="H72" s="66" t="s">
        <v>28</v>
      </c>
    </row>
    <row r="73" spans="1:8" ht="30" customHeight="1">
      <c r="A73" s="12">
        <f>PRZEDMIAR!A131</f>
        <v>27</v>
      </c>
      <c r="B73" s="12" t="str">
        <f>PRZEDMIAR!B131</f>
        <v>M 22.51.20</v>
      </c>
      <c r="C73" s="12" t="str">
        <f>PRZEDMIAR!C131</f>
        <v>05</v>
      </c>
      <c r="D73" s="19" t="str">
        <f>PRZEDMIAR!D131</f>
        <v>Wykonanie i demontaż rusztowań na lądzie i nad wodą</v>
      </c>
      <c r="E73" s="12" t="str">
        <f>PRZEDMIAR!E131</f>
        <v>kpl</v>
      </c>
      <c r="F73" s="20">
        <f>PRZEDMIAR!F131</f>
        <v>1</v>
      </c>
      <c r="G73" s="20"/>
      <c r="H73" s="20" t="str">
        <f>IF(ROUND(F73*G73,2)=0," ",ROUND(F73*G73,2))</f>
        <v> </v>
      </c>
    </row>
    <row r="74" spans="1:8" ht="25.5">
      <c r="A74" s="12">
        <f>PRZEDMIAR!A134</f>
        <v>28</v>
      </c>
      <c r="B74" s="12" t="str">
        <f>PRZEDMIAR!B134</f>
        <v>M 22.51.20</v>
      </c>
      <c r="C74" s="12" t="str">
        <f>PRZEDMIAR!C134</f>
        <v>12</v>
      </c>
      <c r="D74" s="19" t="str">
        <f>PRZEDMIAR!D134</f>
        <v>Wykonanie naprawy pionowych powierzchni podpór zaprawami typu PCC nakładanymi ręcznie na głębokość powyżej 1 cm - nad lądem i wodą</v>
      </c>
      <c r="E74" s="12" t="str">
        <f>PRZEDMIAR!E134</f>
        <v>m3</v>
      </c>
      <c r="F74" s="20">
        <f>PRZEDMIAR!F134</f>
        <v>1.302</v>
      </c>
      <c r="G74" s="20"/>
      <c r="H74" s="20" t="str">
        <f>IF(ROUND(F74*G74,2)=0," ",ROUND(F74*G74,2))</f>
        <v> </v>
      </c>
    </row>
    <row r="75" spans="1:8" ht="30" customHeight="1">
      <c r="A75" s="29"/>
      <c r="B75" s="29"/>
      <c r="C75" s="30"/>
      <c r="D75" s="144" t="str">
        <f>"RAZEM: "&amp;D72&amp;""</f>
        <v>RAZEM: LOKALNE NAPRAWY POWIERZCHNI BETONOWYCH PODPÓR ZAPRAWAMI TYPU PCC NAKŁADANYMI RĘCZNIE</v>
      </c>
      <c r="E75" s="144"/>
      <c r="F75" s="144"/>
      <c r="G75" s="144"/>
      <c r="H75" s="58" t="str">
        <f>IF(SUM(H73:H74)=0," ",SUM(H73:H74))</f>
        <v> </v>
      </c>
    </row>
    <row r="76" spans="1:8" s="110" customFormat="1" ht="30" customHeight="1">
      <c r="A76" s="66" t="str">
        <f>PRZEDMIAR!A137</f>
        <v>x</v>
      </c>
      <c r="B76" s="66" t="str">
        <f>PRZEDMIAR!B137</f>
        <v>M 23.00.00</v>
      </c>
      <c r="C76" s="66"/>
      <c r="D76" s="67" t="str">
        <f>PRZEDMIAR!D137</f>
        <v>USTROJE NOŚNE</v>
      </c>
      <c r="E76" s="66" t="str">
        <f>PRZEDMIAR!E137</f>
        <v>x</v>
      </c>
      <c r="F76" s="59" t="str">
        <f>PRZEDMIAR!F137</f>
        <v>x</v>
      </c>
      <c r="G76" s="66" t="s">
        <v>28</v>
      </c>
      <c r="H76" s="66" t="s">
        <v>28</v>
      </c>
    </row>
    <row r="77" spans="1:10" s="31" customFormat="1" ht="30" customHeight="1">
      <c r="A77" s="18" t="str">
        <f>PRZEDMIAR!A138</f>
        <v>x</v>
      </c>
      <c r="B77" s="18" t="str">
        <f>PRZEDMIAR!B138</f>
        <v>M 23.05.00</v>
      </c>
      <c r="C77" s="18"/>
      <c r="D77" s="27" t="str">
        <f>PRZEDMIAR!D138</f>
        <v>USTROJE STALOWE</v>
      </c>
      <c r="E77" s="18" t="str">
        <f>PRZEDMIAR!E138</f>
        <v>x</v>
      </c>
      <c r="F77" s="32" t="str">
        <f>PRZEDMIAR!F138</f>
        <v>x</v>
      </c>
      <c r="G77" s="18" t="s">
        <v>28</v>
      </c>
      <c r="H77" s="18" t="s">
        <v>28</v>
      </c>
      <c r="J77" s="21"/>
    </row>
    <row r="78" spans="1:10" s="31" customFormat="1" ht="30" customHeight="1">
      <c r="A78" s="18" t="str">
        <f>PRZEDMIAR!A139</f>
        <v>x</v>
      </c>
      <c r="B78" s="18" t="str">
        <f>PRZEDMIAR!B139</f>
        <v>M 23.05.01</v>
      </c>
      <c r="C78" s="18"/>
      <c r="D78" s="27" t="str">
        <f>PRZEDMIAR!D139</f>
        <v>USTRÓJ NOŚNY STALOWY DO ZESPOLENIA Z BETONOWĄ PŁYTĄ POMOSTU</v>
      </c>
      <c r="E78" s="18" t="str">
        <f>PRZEDMIAR!E139</f>
        <v>x</v>
      </c>
      <c r="F78" s="32" t="str">
        <f>PRZEDMIAR!F139</f>
        <v>x</v>
      </c>
      <c r="G78" s="18" t="s">
        <v>28</v>
      </c>
      <c r="H78" s="18" t="s">
        <v>28</v>
      </c>
      <c r="J78" s="21"/>
    </row>
    <row r="79" spans="1:10" s="31" customFormat="1" ht="38.25">
      <c r="A79" s="12">
        <f>PRZEDMIAR!A140</f>
        <v>29</v>
      </c>
      <c r="B79" s="12" t="str">
        <f>PRZEDMIAR!B140</f>
        <v>M 23.05.01</v>
      </c>
      <c r="C79" s="12" t="str">
        <f>PRZEDMIAR!C140</f>
        <v>31</v>
      </c>
      <c r="D79" s="19" t="str">
        <f>PRZEDMIAR!D140</f>
        <v>Montaż konstrukcji blachownicowej ze stali Rr&lt;400 MPa i rozp. przęsła do 20m - nad wodą wraz z wykonaniem tymczasowej podpory o osi rozpiętości przęsła (podniesienie wykonawcze)</v>
      </c>
      <c r="E79" s="12" t="str">
        <f>PRZEDMIAR!E140</f>
        <v>t</v>
      </c>
      <c r="F79" s="20">
        <f>PRZEDMIAR!F140</f>
        <v>6.68</v>
      </c>
      <c r="G79" s="18"/>
      <c r="H79" s="18"/>
      <c r="J79" s="21"/>
    </row>
    <row r="80" spans="1:10" s="31" customFormat="1" ht="30" customHeight="1">
      <c r="A80" s="12">
        <f>PRZEDMIAR!A143</f>
        <v>30</v>
      </c>
      <c r="B80" s="12" t="str">
        <f>PRZEDMIAR!B143</f>
        <v>M 23.05.01</v>
      </c>
      <c r="C80" s="12" t="str">
        <f>PRZEDMIAR!C143</f>
        <v>71</v>
      </c>
      <c r="D80" s="19" t="str">
        <f>PRZEDMIAR!D143</f>
        <v>Wytworzenie konstrukcji stalowej ze stali Rr&lt;400 MPa - istniejące dźwigary</v>
      </c>
      <c r="E80" s="12" t="str">
        <f>PRZEDMIAR!E143</f>
        <v>t</v>
      </c>
      <c r="F80" s="20">
        <f>PRZEDMIAR!F143</f>
        <v>3.74</v>
      </c>
      <c r="G80" s="18"/>
      <c r="H80" s="18"/>
      <c r="J80" s="21"/>
    </row>
    <row r="81" spans="1:10" s="31" customFormat="1" ht="25.5">
      <c r="A81" s="12">
        <f>PRZEDMIAR!A146</f>
        <v>31</v>
      </c>
      <c r="B81" s="12" t="str">
        <f>PRZEDMIAR!B146</f>
        <v>M 23.05.01</v>
      </c>
      <c r="C81" s="12" t="str">
        <f>PRZEDMIAR!C146</f>
        <v>72</v>
      </c>
      <c r="D81" s="19" t="str">
        <f>PRZEDMIAR!D146</f>
        <v>Wytworzenie konstrukcji stalowej ze stali Rr&lt;400 Mpa - projektowana konstrukcja stalowa wraz ze sworzniami</v>
      </c>
      <c r="E81" s="12" t="str">
        <f>PRZEDMIAR!E146</f>
        <v>t</v>
      </c>
      <c r="F81" s="20">
        <f>PRZEDMIAR!F146</f>
        <v>2.94</v>
      </c>
      <c r="G81" s="18"/>
      <c r="H81" s="18"/>
      <c r="J81" s="21"/>
    </row>
    <row r="82" spans="1:10" s="31" customFormat="1" ht="25.5">
      <c r="A82" s="12">
        <f>PRZEDMIAR!A149</f>
        <v>32</v>
      </c>
      <c r="B82" s="12" t="str">
        <f>PRZEDMIAR!B149</f>
        <v>M 23.05.01</v>
      </c>
      <c r="C82" s="12" t="str">
        <f>PRZEDMIAR!C149</f>
        <v>87</v>
      </c>
      <c r="D82" s="19" t="str">
        <f>PRZEDMIAR!D149</f>
        <v>Zabezpieczenie antykorozyjne konstrukcji stalowej poprzez malowanie farbami na bazie żywic EP i PUR</v>
      </c>
      <c r="E82" s="12" t="str">
        <f>PRZEDMIAR!E149</f>
        <v>m2</v>
      </c>
      <c r="F82" s="20">
        <f>PRZEDMIAR!F149</f>
        <v>76</v>
      </c>
      <c r="G82" s="18"/>
      <c r="H82" s="18"/>
      <c r="J82" s="21"/>
    </row>
    <row r="83" spans="1:8" ht="30" customHeight="1">
      <c r="A83" s="29"/>
      <c r="B83" s="29"/>
      <c r="C83" s="30"/>
      <c r="D83" s="144" t="str">
        <f>"RAZEM: "&amp;D76&amp;""</f>
        <v>RAZEM: USTROJE NOŚNE</v>
      </c>
      <c r="E83" s="144"/>
      <c r="F83" s="144"/>
      <c r="G83" s="144"/>
      <c r="H83" s="58" t="str">
        <f>IF(SUM(H79:H82)=0," ",SUM(H79:H82))</f>
        <v> </v>
      </c>
    </row>
    <row r="84" spans="1:8" s="110" customFormat="1" ht="30" customHeight="1">
      <c r="A84" s="66" t="str">
        <f>PRZEDMIAR!A152</f>
        <v>x</v>
      </c>
      <c r="B84" s="66" t="str">
        <f>PRZEDMIAR!B152</f>
        <v>M 23.10.00</v>
      </c>
      <c r="C84" s="66"/>
      <c r="D84" s="67" t="str">
        <f>PRZEDMIAR!D152</f>
        <v>PŁYTY POMOSTU ZESPOLONE Z KONSTRUKCJĄ STALOWĄ</v>
      </c>
      <c r="E84" s="66" t="str">
        <f>PRZEDMIAR!E152</f>
        <v>x</v>
      </c>
      <c r="F84" s="59" t="str">
        <f>PRZEDMIAR!F152</f>
        <v>x</v>
      </c>
      <c r="G84" s="66" t="s">
        <v>28</v>
      </c>
      <c r="H84" s="66" t="s">
        <v>28</v>
      </c>
    </row>
    <row r="85" spans="1:10" s="31" customFormat="1" ht="25.5">
      <c r="A85" s="18" t="str">
        <f>PRZEDMIAR!A153</f>
        <v>x</v>
      </c>
      <c r="B85" s="18" t="str">
        <f>PRZEDMIAR!B153</f>
        <v>M 23.10.01</v>
      </c>
      <c r="C85" s="18"/>
      <c r="D85" s="27" t="str">
        <f>PRZEDMIAR!D153</f>
        <v>ŻELBETOWA PŁYTA POMOSTU ZESPOLONA Z KONSTRUKCJĄ STALOWĄ USTROJU NOŚNEGO</v>
      </c>
      <c r="E85" s="18" t="str">
        <f>PRZEDMIAR!E153</f>
        <v>x</v>
      </c>
      <c r="F85" s="32" t="str">
        <f>PRZEDMIAR!F153</f>
        <v>x</v>
      </c>
      <c r="G85" s="18" t="s">
        <v>28</v>
      </c>
      <c r="H85" s="18" t="s">
        <v>28</v>
      </c>
      <c r="J85" s="21"/>
    </row>
    <row r="86" spans="1:10" s="31" customFormat="1" ht="25.5">
      <c r="A86" s="12">
        <f>PRZEDMIAR!A154</f>
        <v>33</v>
      </c>
      <c r="B86" s="12" t="str">
        <f>PRZEDMIAR!B154</f>
        <v>M 23.10.01</v>
      </c>
      <c r="C86" s="12" t="str">
        <f>PRZEDMIAR!C154</f>
        <v>32</v>
      </c>
      <c r="D86" s="19" t="str">
        <f>PRZEDMIAR!D154</f>
        <v>Wykonanie płyty pomostu konstrukcji zespolonej z betonu klasy C30/37 (B35)  - nad wodą z wykonaniem rusztowań i deskowań</v>
      </c>
      <c r="E86" s="12" t="str">
        <f>PRZEDMIAR!E154</f>
        <v>m3</v>
      </c>
      <c r="F86" s="20">
        <f>PRZEDMIAR!F154</f>
        <v>10.7</v>
      </c>
      <c r="G86" s="18"/>
      <c r="H86" s="18"/>
      <c r="J86" s="21"/>
    </row>
    <row r="87" spans="1:10" s="31" customFormat="1" ht="30" customHeight="1">
      <c r="A87" s="12">
        <f>PRZEDMIAR!A157</f>
        <v>34</v>
      </c>
      <c r="B87" s="12" t="str">
        <f>PRZEDMIAR!B157</f>
        <v>M 23.10.01</v>
      </c>
      <c r="C87" s="12" t="str">
        <f>PRZEDMIAR!C157</f>
        <v>97</v>
      </c>
      <c r="D87" s="19" t="str">
        <f>PRZEDMIAR!D157</f>
        <v>Wykonanie zbrojenia płyty zespolonej ze stali klasy A-IIIN</v>
      </c>
      <c r="E87" s="12" t="str">
        <f>PRZEDMIAR!E157</f>
        <v>kg</v>
      </c>
      <c r="F87" s="20">
        <f>PRZEDMIAR!F157</f>
        <v>2627</v>
      </c>
      <c r="G87" s="18"/>
      <c r="H87" s="18"/>
      <c r="J87" s="21"/>
    </row>
    <row r="88" spans="1:10" s="31" customFormat="1" ht="30" customHeight="1">
      <c r="A88" s="29"/>
      <c r="B88" s="34"/>
      <c r="C88" s="35"/>
      <c r="D88" s="144" t="str">
        <f>"RAZEM: "&amp;D84&amp;""</f>
        <v>RAZEM: PŁYTY POMOSTU ZESPOLONE Z KONSTRUKCJĄ STALOWĄ</v>
      </c>
      <c r="E88" s="144"/>
      <c r="F88" s="144"/>
      <c r="G88" s="144"/>
      <c r="H88" s="58" t="str">
        <f>IF(SUM(H86:H87)=0," ",SUM(H86:H87))</f>
        <v> </v>
      </c>
      <c r="J88" s="21"/>
    </row>
    <row r="89" spans="1:8" s="110" customFormat="1" ht="30" customHeight="1">
      <c r="A89" s="66" t="str">
        <f>PRZEDMIAR!A162</f>
        <v>x</v>
      </c>
      <c r="B89" s="66" t="str">
        <f>PRZEDMIAR!B162</f>
        <v>M 23.30.00</v>
      </c>
      <c r="C89" s="66"/>
      <c r="D89" s="67" t="str">
        <f>PRZEDMIAR!D162</f>
        <v>KAPY CHODNIKOWE</v>
      </c>
      <c r="E89" s="66" t="str">
        <f>PRZEDMIAR!E162</f>
        <v>x</v>
      </c>
      <c r="F89" s="59" t="str">
        <f>PRZEDMIAR!F162</f>
        <v>x</v>
      </c>
      <c r="G89" s="66" t="s">
        <v>28</v>
      </c>
      <c r="H89" s="66" t="s">
        <v>28</v>
      </c>
    </row>
    <row r="90" spans="1:11" s="31" customFormat="1" ht="30" customHeight="1">
      <c r="A90" s="18" t="str">
        <f>PRZEDMIAR!A163</f>
        <v>x</v>
      </c>
      <c r="B90" s="18" t="str">
        <f>PRZEDMIAR!B163</f>
        <v>M 23.30.06</v>
      </c>
      <c r="C90" s="18"/>
      <c r="D90" s="27" t="str">
        <f>PRZEDMIAR!D163</f>
        <v>KAPY CHODNIKOWA Z PREFABRYKOWANĄ DESKĄ GZYMSOWĄ</v>
      </c>
      <c r="E90" s="18" t="str">
        <f>PRZEDMIAR!E163</f>
        <v>x</v>
      </c>
      <c r="F90" s="32" t="str">
        <f>PRZEDMIAR!F163</f>
        <v>x</v>
      </c>
      <c r="G90" s="18" t="s">
        <v>28</v>
      </c>
      <c r="H90" s="18" t="s">
        <v>28</v>
      </c>
      <c r="J90" s="21"/>
      <c r="K90" s="21"/>
    </row>
    <row r="91" spans="1:10" s="31" customFormat="1" ht="30" customHeight="1">
      <c r="A91" s="12">
        <f>PRZEDMIAR!A164</f>
        <v>35</v>
      </c>
      <c r="B91" s="12" t="str">
        <f>PRZEDMIAR!B164</f>
        <v>M 23.30.06</v>
      </c>
      <c r="C91" s="12" t="str">
        <f>PRZEDMIAR!C164</f>
        <v>01</v>
      </c>
      <c r="D91" s="19" t="str">
        <f>PRZEDMIAR!D164</f>
        <v>Koszt prefabrykowanych desek gzymsowych z betonu poliuretanowego 4x50x100 cm</v>
      </c>
      <c r="E91" s="12" t="str">
        <f>PRZEDMIAR!E164</f>
        <v>m3</v>
      </c>
      <c r="F91" s="20">
        <f>PRZEDMIAR!F164</f>
        <v>0.478</v>
      </c>
      <c r="G91" s="20"/>
      <c r="H91" s="20" t="str">
        <f>IF(ROUND(F91*G91,2)=0," ",ROUND(F91*G91,2))</f>
        <v> </v>
      </c>
      <c r="J91" s="21"/>
    </row>
    <row r="92" spans="1:10" s="31" customFormat="1" ht="30" customHeight="1">
      <c r="A92" s="12">
        <f>PRZEDMIAR!A167</f>
        <v>36</v>
      </c>
      <c r="B92" s="12" t="str">
        <f>PRZEDMIAR!B167</f>
        <v>M 23.30.06</v>
      </c>
      <c r="C92" s="12" t="str">
        <f>PRZEDMIAR!C167</f>
        <v>51</v>
      </c>
      <c r="D92" s="19" t="str">
        <f>PRZEDMIAR!D167</f>
        <v>Montaż prefabrykowanych desek gzymsowych z betonu poliuretanowego o kubaturze do 0,1m3/szt</v>
      </c>
      <c r="E92" s="12" t="str">
        <f>PRZEDMIAR!E167</f>
        <v>m3</v>
      </c>
      <c r="F92" s="20">
        <f>PRZEDMIAR!F167</f>
        <v>0.478</v>
      </c>
      <c r="G92" s="20"/>
      <c r="H92" s="20" t="str">
        <f>IF(ROUND(F92*G92,2)=0," ",ROUND(F92*G92,2))</f>
        <v> </v>
      </c>
      <c r="J92" s="21"/>
    </row>
    <row r="93" spans="1:10" s="31" customFormat="1" ht="30" customHeight="1">
      <c r="A93" s="12">
        <f>PRZEDMIAR!A169</f>
        <v>37</v>
      </c>
      <c r="B93" s="12" t="str">
        <f>PRZEDMIAR!B169</f>
        <v>M 23.30.06</v>
      </c>
      <c r="C93" s="12" t="str">
        <f>PRZEDMIAR!C169</f>
        <v>55</v>
      </c>
      <c r="D93" s="19" t="str">
        <f>PRZEDMIAR!D169</f>
        <v>Wykonanie plyty chodnikowej "na mokro" z betonu klasy C25/30 (B-30)</v>
      </c>
      <c r="E93" s="12" t="str">
        <f>PRZEDMIAR!E169</f>
        <v>m3</v>
      </c>
      <c r="F93" s="20">
        <f>PRZEDMIAR!F169</f>
        <v>3.7</v>
      </c>
      <c r="G93" s="20"/>
      <c r="H93" s="20" t="str">
        <f>IF(ROUND(F93*G93,2)=0," ",ROUND(F93*G93,2))</f>
        <v> </v>
      </c>
      <c r="J93" s="21"/>
    </row>
    <row r="94" spans="1:10" s="31" customFormat="1" ht="30" customHeight="1">
      <c r="A94" s="12">
        <f>PRZEDMIAR!A172</f>
        <v>38</v>
      </c>
      <c r="B94" s="12" t="str">
        <f>PRZEDMIAR!B172</f>
        <v>M 23.30.06</v>
      </c>
      <c r="C94" s="12" t="str">
        <f>PRZEDMIAR!C172</f>
        <v>58</v>
      </c>
      <c r="D94" s="19" t="str">
        <f>PRZEDMIAR!D172</f>
        <v>Osadzenie kotew zamocowań balustrad, barier, latarni, itp..</v>
      </c>
      <c r="E94" s="12" t="str">
        <f>PRZEDMIAR!E172</f>
        <v>kg</v>
      </c>
      <c r="F94" s="20">
        <f>PRZEDMIAR!F172</f>
        <v>182</v>
      </c>
      <c r="G94" s="20"/>
      <c r="H94" s="20" t="str">
        <f>IF(ROUND(F94*G94,2)=0," ",ROUND(F94*G94,2))</f>
        <v> </v>
      </c>
      <c r="J94" s="21"/>
    </row>
    <row r="95" spans="1:10" s="31" customFormat="1" ht="30" customHeight="1">
      <c r="A95" s="12">
        <f>PRZEDMIAR!A175</f>
        <v>39</v>
      </c>
      <c r="B95" s="12" t="str">
        <f>PRZEDMIAR!B175</f>
        <v>M 23.30.06</v>
      </c>
      <c r="C95" s="12" t="str">
        <f>PRZEDMIAR!C175</f>
        <v>96</v>
      </c>
      <c r="D95" s="19" t="str">
        <f>PRZEDMIAR!D175</f>
        <v>Wykonanie zbrojenia kap za stali klasy A-III wraz z kotwieniem do płyty pomostu</v>
      </c>
      <c r="E95" s="12" t="str">
        <f>PRZEDMIAR!E175</f>
        <v>kg</v>
      </c>
      <c r="F95" s="20">
        <f>PRZEDMIAR!F175</f>
        <v>475</v>
      </c>
      <c r="G95" s="20"/>
      <c r="H95" s="20" t="str">
        <f>IF(ROUND(F95*G95,2)=0," ",ROUND(F95*G95,2))</f>
        <v> </v>
      </c>
      <c r="J95" s="21"/>
    </row>
    <row r="96" spans="1:10" s="31" customFormat="1" ht="30" customHeight="1">
      <c r="A96" s="29"/>
      <c r="B96" s="34"/>
      <c r="C96" s="35"/>
      <c r="D96" s="144" t="str">
        <f>"RAZEM: "&amp;D89&amp;""</f>
        <v>RAZEM: KAPY CHODNIKOWE</v>
      </c>
      <c r="E96" s="144"/>
      <c r="F96" s="144"/>
      <c r="G96" s="144"/>
      <c r="H96" s="58" t="str">
        <f>IF(SUM(H91:H95)=0," ",SUM(H91:H95))</f>
        <v> </v>
      </c>
      <c r="J96" s="21"/>
    </row>
    <row r="97" spans="1:8" s="110" customFormat="1" ht="30" customHeight="1">
      <c r="A97" s="66" t="str">
        <f>PRZEDMIAR!A181</f>
        <v>x</v>
      </c>
      <c r="B97" s="66" t="str">
        <f>PRZEDMIAR!B181</f>
        <v>M 24.00.00</v>
      </c>
      <c r="C97" s="66"/>
      <c r="D97" s="67" t="str">
        <f>PRZEDMIAR!D181</f>
        <v>ŁOŻYSKA</v>
      </c>
      <c r="E97" s="66" t="str">
        <f>PRZEDMIAR!E181</f>
        <v>x</v>
      </c>
      <c r="F97" s="59" t="str">
        <f>PRZEDMIAR!F181</f>
        <v>x</v>
      </c>
      <c r="G97" s="66" t="s">
        <v>28</v>
      </c>
      <c r="H97" s="66" t="s">
        <v>28</v>
      </c>
    </row>
    <row r="98" spans="1:10" s="31" customFormat="1" ht="30" customHeight="1">
      <c r="A98" s="18" t="str">
        <f>PRZEDMIAR!A182</f>
        <v>x</v>
      </c>
      <c r="B98" s="18" t="str">
        <f>PRZEDMIAR!B182</f>
        <v>M 24.03.01</v>
      </c>
      <c r="C98" s="18"/>
      <c r="D98" s="27" t="str">
        <f>PRZEDMIAR!D182</f>
        <v>ŁOŻYSKA STALOWE LINIOWE</v>
      </c>
      <c r="E98" s="18" t="str">
        <f>PRZEDMIAR!E182</f>
        <v>x</v>
      </c>
      <c r="F98" s="32" t="str">
        <f>PRZEDMIAR!F182</f>
        <v>x</v>
      </c>
      <c r="G98" s="18" t="s">
        <v>28</v>
      </c>
      <c r="H98" s="18" t="s">
        <v>28</v>
      </c>
      <c r="J98" s="21"/>
    </row>
    <row r="99" spans="1:10" s="31" customFormat="1" ht="30" customHeight="1">
      <c r="A99" s="12">
        <f>PRZEDMIAR!A183</f>
        <v>40</v>
      </c>
      <c r="B99" s="12" t="str">
        <f>PRZEDMIAR!B183</f>
        <v>M 24.03.01</v>
      </c>
      <c r="C99" s="12" t="str">
        <f>PRZEDMIAR!C183</f>
        <v>51</v>
      </c>
      <c r="D99" s="19" t="str">
        <f>PRZEDMIAR!D183</f>
        <v>Montaż łożysk stalowych z szyn kolejowych typu S49 </v>
      </c>
      <c r="E99" s="12" t="str">
        <f>PRZEDMIAR!E183</f>
        <v>szt.</v>
      </c>
      <c r="F99" s="20">
        <f>PRZEDMIAR!F183</f>
        <v>2</v>
      </c>
      <c r="G99" s="20"/>
      <c r="H99" s="20"/>
      <c r="J99" s="21"/>
    </row>
    <row r="100" spans="1:10" s="31" customFormat="1" ht="30" customHeight="1">
      <c r="A100" s="12">
        <f>PRZEDMIAR!A186</f>
        <v>41</v>
      </c>
      <c r="B100" s="12" t="str">
        <f>PRZEDMIAR!B186</f>
        <v>M 24.03.01</v>
      </c>
      <c r="C100" s="12" t="str">
        <f>PRZEDMIAR!C186</f>
        <v>71</v>
      </c>
      <c r="D100" s="19" t="str">
        <f>PRZEDMIAR!D186</f>
        <v>Wytworzenie łożysk stalowych z szyn kolejowych typu S49 </v>
      </c>
      <c r="E100" s="12" t="str">
        <f>PRZEDMIAR!E186</f>
        <v>kg</v>
      </c>
      <c r="F100" s="20">
        <f>PRZEDMIAR!F186</f>
        <v>404</v>
      </c>
      <c r="G100" s="20"/>
      <c r="H100" s="20"/>
      <c r="J100" s="21"/>
    </row>
    <row r="101" spans="1:10" s="31" customFormat="1" ht="30" customHeight="1">
      <c r="A101" s="29"/>
      <c r="B101" s="34"/>
      <c r="C101" s="35"/>
      <c r="D101" s="144" t="str">
        <f>"RAZEM: "&amp;D97&amp;""</f>
        <v>RAZEM: ŁOŻYSKA</v>
      </c>
      <c r="E101" s="144"/>
      <c r="F101" s="144"/>
      <c r="G101" s="144"/>
      <c r="H101" s="58" t="str">
        <f>IF(SUM(H99:H100)=0," ",SUM(H99:H100))</f>
        <v> </v>
      </c>
      <c r="J101" s="21"/>
    </row>
    <row r="102" spans="1:8" s="110" customFormat="1" ht="30" customHeight="1">
      <c r="A102" s="66" t="str">
        <f>PRZEDMIAR!A189</f>
        <v>x</v>
      </c>
      <c r="B102" s="66" t="str">
        <f>PRZEDMIAR!B189</f>
        <v>M 25.00.00</v>
      </c>
      <c r="C102" s="66"/>
      <c r="D102" s="67" t="str">
        <f>PRZEDMIAR!D189</f>
        <v>URZĄDZENIA DYLATACYJNE</v>
      </c>
      <c r="E102" s="66" t="str">
        <f>PRZEDMIAR!E189</f>
        <v>x</v>
      </c>
      <c r="F102" s="59" t="str">
        <f>PRZEDMIAR!F189</f>
        <v>x</v>
      </c>
      <c r="G102" s="66" t="s">
        <v>28</v>
      </c>
      <c r="H102" s="66" t="s">
        <v>28</v>
      </c>
    </row>
    <row r="103" spans="1:10" s="31" customFormat="1" ht="30" customHeight="1">
      <c r="A103" s="18" t="str">
        <f>PRZEDMIAR!A190</f>
        <v>x</v>
      </c>
      <c r="B103" s="18" t="str">
        <f>PRZEDMIAR!B190</f>
        <v>M 25.01.13</v>
      </c>
      <c r="C103" s="18"/>
      <c r="D103" s="27" t="str">
        <f>PRZEDMIAR!D190</f>
        <v>PRZEKRYCIE DYLATACYJNE - "UCIĄGLENIE NAWIERZCHNI" PRZEZ WYPEŁNIENIE SZCZELINY MASĄ TRWALEPLASTYCZNĄ</v>
      </c>
      <c r="E103" s="18" t="str">
        <f>PRZEDMIAR!E190</f>
        <v>x</v>
      </c>
      <c r="F103" s="32" t="str">
        <f>PRZEDMIAR!F190</f>
        <v>x</v>
      </c>
      <c r="G103" s="32" t="s">
        <v>28</v>
      </c>
      <c r="H103" s="32" t="s">
        <v>28</v>
      </c>
      <c r="J103" s="21"/>
    </row>
    <row r="104" spans="1:10" s="31" customFormat="1" ht="30" customHeight="1">
      <c r="A104" s="12">
        <f>PRZEDMIAR!A191</f>
        <v>42</v>
      </c>
      <c r="B104" s="12" t="str">
        <f>PRZEDMIAR!B191</f>
        <v>M 25.01.13</v>
      </c>
      <c r="C104" s="12" t="str">
        <f>PRZEDMIAR!C191</f>
        <v>51</v>
      </c>
      <c r="D104" s="19" t="str">
        <f>PRZEDMIAR!D191</f>
        <v>Wykonanie przekrycia dylatacyjnego "uciąglenie nawierzchni" poprzez wypełnienie szczeliny masą trwaleplastyczną</v>
      </c>
      <c r="E104" s="12" t="str">
        <f>PRZEDMIAR!E191</f>
        <v>m</v>
      </c>
      <c r="F104" s="20">
        <f>PRZEDMIAR!F191</f>
        <v>6</v>
      </c>
      <c r="G104" s="20"/>
      <c r="H104" s="20" t="str">
        <f>IF(ROUND(F104*G104,2)=0," ",ROUND(F104*G104,2))</f>
        <v> </v>
      </c>
      <c r="J104" s="21"/>
    </row>
    <row r="105" spans="1:10" s="31" customFormat="1" ht="30" customHeight="1">
      <c r="A105" s="29"/>
      <c r="B105" s="34"/>
      <c r="C105" s="35"/>
      <c r="D105" s="144" t="str">
        <f>"RAZEM: "&amp;D102&amp;""</f>
        <v>RAZEM: URZĄDZENIA DYLATACYJNE</v>
      </c>
      <c r="E105" s="144"/>
      <c r="F105" s="144"/>
      <c r="G105" s="144"/>
      <c r="H105" s="58" t="str">
        <f>IF(SUM(H104)=0," ",SUM(H104))</f>
        <v> </v>
      </c>
      <c r="J105" s="21"/>
    </row>
    <row r="106" spans="1:8" s="110" customFormat="1" ht="30" customHeight="1">
      <c r="A106" s="66" t="str">
        <f>PRZEDMIAR!A195</f>
        <v>x</v>
      </c>
      <c r="B106" s="66" t="str">
        <f>PRZEDMIAR!B195</f>
        <v>M 26.00.00</v>
      </c>
      <c r="C106" s="66"/>
      <c r="D106" s="67" t="str">
        <f>PRZEDMIAR!D195</f>
        <v>ODWODNIENIE</v>
      </c>
      <c r="E106" s="66" t="str">
        <f>PRZEDMIAR!E195</f>
        <v>x</v>
      </c>
      <c r="F106" s="59" t="str">
        <f>PRZEDMIAR!F195</f>
        <v>x</v>
      </c>
      <c r="G106" s="66" t="s">
        <v>28</v>
      </c>
      <c r="H106" s="66" t="s">
        <v>28</v>
      </c>
    </row>
    <row r="107" spans="1:10" s="31" customFormat="1" ht="30" customHeight="1">
      <c r="A107" s="18" t="str">
        <f>PRZEDMIAR!A196</f>
        <v>x</v>
      </c>
      <c r="B107" s="18" t="str">
        <f>PRZEDMIAR!B196</f>
        <v>M 26.01.02</v>
      </c>
      <c r="C107" s="18"/>
      <c r="D107" s="27" t="str">
        <f>PRZEDMIAR!D196</f>
        <v>SĄCZKI DLA ODWODNIENIA IZOLACJI</v>
      </c>
      <c r="E107" s="18" t="str">
        <f>PRZEDMIAR!E196</f>
        <v>x</v>
      </c>
      <c r="F107" s="32" t="str">
        <f>PRZEDMIAR!F196</f>
        <v>x</v>
      </c>
      <c r="G107" s="18" t="s">
        <v>28</v>
      </c>
      <c r="H107" s="18" t="s">
        <v>28</v>
      </c>
      <c r="J107" s="21"/>
    </row>
    <row r="108" spans="1:10" s="31" customFormat="1" ht="30" customHeight="1">
      <c r="A108" s="29">
        <f>PRZEDMIAR!A197</f>
        <v>43</v>
      </c>
      <c r="B108" s="29" t="str">
        <f>PRZEDMIAR!B197</f>
        <v>M 26.01.02</v>
      </c>
      <c r="C108" s="29" t="str">
        <f>PRZEDMIAR!C197</f>
        <v>51</v>
      </c>
      <c r="D108" s="33" t="str">
        <f>PRZEDMIAR!D197</f>
        <v>Montaż saczków odwodnienia izolacji - sączki z HDPE śr. 48mm</v>
      </c>
      <c r="E108" s="29" t="str">
        <f>PRZEDMIAR!E197</f>
        <v>szt</v>
      </c>
      <c r="F108" s="64">
        <f>PRZEDMIAR!F197</f>
        <v>4</v>
      </c>
      <c r="G108" s="20"/>
      <c r="H108" s="20" t="str">
        <f>IF(ROUND(F108*G108,2)=0," ",ROUND(F108*G108,2))</f>
        <v> </v>
      </c>
      <c r="J108" s="21"/>
    </row>
    <row r="109" spans="1:10" s="31" customFormat="1" ht="30" customHeight="1">
      <c r="A109" s="18" t="str">
        <f>PRZEDMIAR!A199</f>
        <v>x</v>
      </c>
      <c r="B109" s="18" t="str">
        <f>PRZEDMIAR!B199</f>
        <v>M 26.01.03</v>
      </c>
      <c r="C109" s="18"/>
      <c r="D109" s="27" t="str">
        <f>PRZEDMIAR!D199</f>
        <v>DRENY DLA ODWODNIENIA IZOLACJI</v>
      </c>
      <c r="E109" s="18" t="str">
        <f>PRZEDMIAR!E199</f>
        <v>x</v>
      </c>
      <c r="F109" s="32" t="str">
        <f>PRZEDMIAR!F199</f>
        <v>x</v>
      </c>
      <c r="G109" s="18" t="s">
        <v>28</v>
      </c>
      <c r="H109" s="18" t="s">
        <v>28</v>
      </c>
      <c r="J109" s="21"/>
    </row>
    <row r="110" spans="1:10" s="31" customFormat="1" ht="30" customHeight="1">
      <c r="A110" s="29">
        <f>PRZEDMIAR!A200</f>
        <v>44</v>
      </c>
      <c r="B110" s="29" t="str">
        <f>PRZEDMIAR!B200</f>
        <v>M 26.01.03</v>
      </c>
      <c r="C110" s="29" t="str">
        <f>PRZEDMIAR!C200</f>
        <v>52</v>
      </c>
      <c r="D110" s="33" t="str">
        <f>PRZEDMIAR!D200</f>
        <v>Wykonanie drenów z kruszywa lakierowanego żywicami syntetycznymi z taśmą</v>
      </c>
      <c r="E110" s="29" t="str">
        <f>PRZEDMIAR!E200</f>
        <v>m</v>
      </c>
      <c r="F110" s="64">
        <f>PRZEDMIAR!F200</f>
        <v>47.8</v>
      </c>
      <c r="G110" s="20"/>
      <c r="H110" s="20" t="str">
        <f>IF(ROUND(F110*G110,2)=0," ",ROUND(F110*G110,2))</f>
        <v> </v>
      </c>
      <c r="J110" s="21"/>
    </row>
    <row r="111" spans="1:10" s="31" customFormat="1" ht="30" customHeight="1">
      <c r="A111" s="29"/>
      <c r="B111" s="34"/>
      <c r="C111" s="35"/>
      <c r="D111" s="144" t="str">
        <f>"RAZEM: "&amp;D106&amp;""</f>
        <v>RAZEM: ODWODNIENIE</v>
      </c>
      <c r="E111" s="144"/>
      <c r="F111" s="144"/>
      <c r="G111" s="144"/>
      <c r="H111" s="58" t="str">
        <f>IF(SUM(H108,H110)=0," ",SUM(H108,H110))</f>
        <v> </v>
      </c>
      <c r="J111" s="21"/>
    </row>
    <row r="112" spans="1:8" s="110" customFormat="1" ht="30" customHeight="1">
      <c r="A112" s="66" t="str">
        <f>PRZEDMIAR!A204</f>
        <v>x</v>
      </c>
      <c r="B112" s="66" t="str">
        <f>PRZEDMIAR!B204</f>
        <v>M 27.00.00</v>
      </c>
      <c r="C112" s="66"/>
      <c r="D112" s="67" t="str">
        <f>PRZEDMIAR!D204</f>
        <v>HYDROIZOLACJA</v>
      </c>
      <c r="E112" s="66" t="str">
        <f>PRZEDMIAR!E204</f>
        <v>x</v>
      </c>
      <c r="F112" s="59" t="str">
        <f>PRZEDMIAR!F204</f>
        <v>x</v>
      </c>
      <c r="G112" s="66" t="s">
        <v>28</v>
      </c>
      <c r="H112" s="66" t="s">
        <v>28</v>
      </c>
    </row>
    <row r="113" spans="1:10" s="31" customFormat="1" ht="30" customHeight="1">
      <c r="A113" s="18" t="str">
        <f>PRZEDMIAR!A205</f>
        <v>x</v>
      </c>
      <c r="B113" s="18" t="str">
        <f>PRZEDMIAR!B205</f>
        <v>M 27.01.00</v>
      </c>
      <c r="C113" s="18"/>
      <c r="D113" s="27" t="str">
        <f>PRZEDMIAR!D205</f>
        <v>IZOLACJE POWŁOKOWE</v>
      </c>
      <c r="E113" s="18" t="str">
        <f>PRZEDMIAR!E205</f>
        <v>x</v>
      </c>
      <c r="F113" s="32" t="str">
        <f>PRZEDMIAR!F205</f>
        <v>x</v>
      </c>
      <c r="G113" s="18" t="s">
        <v>28</v>
      </c>
      <c r="H113" s="18" t="s">
        <v>28</v>
      </c>
      <c r="J113" s="21"/>
    </row>
    <row r="114" spans="1:10" s="31" customFormat="1" ht="30" customHeight="1">
      <c r="A114" s="18" t="str">
        <f>PRZEDMIAR!A206</f>
        <v>x</v>
      </c>
      <c r="B114" s="18" t="str">
        <f>PRZEDMIAR!B206</f>
        <v>M 27.01.01</v>
      </c>
      <c r="C114" s="18"/>
      <c r="D114" s="27" t="str">
        <f>PRZEDMIAR!D206</f>
        <v>POWŁOKA IZOLACYJNA BITUMICZNA - "NA ZIMNO"</v>
      </c>
      <c r="E114" s="18" t="str">
        <f>PRZEDMIAR!E206</f>
        <v>x</v>
      </c>
      <c r="F114" s="32" t="str">
        <f>PRZEDMIAR!F206</f>
        <v>x</v>
      </c>
      <c r="G114" s="18" t="s">
        <v>28</v>
      </c>
      <c r="H114" s="18" t="s">
        <v>28</v>
      </c>
      <c r="J114" s="21"/>
    </row>
    <row r="115" spans="1:12" s="31" customFormat="1" ht="30" customHeight="1">
      <c r="A115" s="29">
        <f>PRZEDMIAR!A207</f>
        <v>45</v>
      </c>
      <c r="B115" s="29" t="str">
        <f>PRZEDMIAR!B207</f>
        <v>M 27.01.01</v>
      </c>
      <c r="C115" s="29">
        <f>PRZEDMIAR!C207</f>
        <v>51</v>
      </c>
      <c r="D115" s="33" t="str">
        <f>PRZEDMIAR!D207</f>
        <v>Wykonanie powłokowej izolacji bitumicznej układanej "na zimno" - powierzchnie pionowe</v>
      </c>
      <c r="E115" s="29" t="str">
        <f>PRZEDMIAR!E207</f>
        <v>m2</v>
      </c>
      <c r="F115" s="64">
        <f>PRZEDMIAR!F207</f>
        <v>36</v>
      </c>
      <c r="G115" s="20"/>
      <c r="H115" s="20" t="str">
        <f>IF(ROUND(F115*G115,2)=0," ",ROUND(F115*G115,2))</f>
        <v> </v>
      </c>
      <c r="J115" s="21"/>
      <c r="L115" s="21"/>
    </row>
    <row r="116" spans="1:10" s="31" customFormat="1" ht="30" customHeight="1">
      <c r="A116" s="18" t="str">
        <f>PRZEDMIAR!A210</f>
        <v>x</v>
      </c>
      <c r="B116" s="18" t="str">
        <f>PRZEDMIAR!B210</f>
        <v>M 27.02.01</v>
      </c>
      <c r="C116" s="18"/>
      <c r="D116" s="27" t="str">
        <f>PRZEDMIAR!D210</f>
        <v>IZOLACJE ARKUSZOWE</v>
      </c>
      <c r="E116" s="18" t="str">
        <f>PRZEDMIAR!E210</f>
        <v>x</v>
      </c>
      <c r="F116" s="32" t="str">
        <f>PRZEDMIAR!F210</f>
        <v>x</v>
      </c>
      <c r="G116" s="18" t="s">
        <v>28</v>
      </c>
      <c r="H116" s="18" t="s">
        <v>28</v>
      </c>
      <c r="J116" s="21"/>
    </row>
    <row r="117" spans="1:10" s="31" customFormat="1" ht="30" customHeight="1">
      <c r="A117" s="12">
        <f>PRZEDMIAR!A211</f>
        <v>46</v>
      </c>
      <c r="B117" s="12" t="str">
        <f>PRZEDMIAR!B211</f>
        <v>M 27.02.01</v>
      </c>
      <c r="C117" s="12" t="str">
        <f>PRZEDMIAR!C211</f>
        <v>01</v>
      </c>
      <c r="D117" s="19" t="str">
        <f>PRZEDMIAR!D211</f>
        <v>Koszt papy zgrzewalnej</v>
      </c>
      <c r="E117" s="12" t="str">
        <f>PRZEDMIAR!E211</f>
        <v>m2</v>
      </c>
      <c r="F117" s="20">
        <f>PRZEDMIAR!F211</f>
        <v>86</v>
      </c>
      <c r="G117" s="20"/>
      <c r="H117" s="20" t="str">
        <f>IF(ROUND(F117*G117,2)=0," ",ROUND(F117*G117,2))</f>
        <v> </v>
      </c>
      <c r="J117" s="21"/>
    </row>
    <row r="118" spans="1:10" s="31" customFormat="1" ht="30" customHeight="1">
      <c r="A118" s="12">
        <f>PRZEDMIAR!A214</f>
        <v>47</v>
      </c>
      <c r="B118" s="12" t="str">
        <f>PRZEDMIAR!B214</f>
        <v>M 27.02.01</v>
      </c>
      <c r="C118" s="12" t="str">
        <f>PRZEDMIAR!C214</f>
        <v>51</v>
      </c>
      <c r="D118" s="19" t="str">
        <f>PRZEDMIAR!D214</f>
        <v>Wykonanie izolacji z papy zgrzewalnej na betonowych płaszczyznach poziomych - 1 x papa</v>
      </c>
      <c r="E118" s="12" t="str">
        <f>PRZEDMIAR!E214</f>
        <v>m2</v>
      </c>
      <c r="F118" s="20">
        <f>PRZEDMIAR!F214</f>
        <v>86</v>
      </c>
      <c r="G118" s="20"/>
      <c r="H118" s="20" t="str">
        <f>IF(ROUND(F118*G118,2)=0," ",ROUND(F118*G118,2))</f>
        <v> </v>
      </c>
      <c r="J118" s="21"/>
    </row>
    <row r="119" spans="1:10" s="31" customFormat="1" ht="30" customHeight="1">
      <c r="A119" s="29"/>
      <c r="B119" s="34"/>
      <c r="C119" s="35"/>
      <c r="D119" s="144" t="str">
        <f>"RAZEM: "&amp;D112&amp;""</f>
        <v>RAZEM: HYDROIZOLACJA</v>
      </c>
      <c r="E119" s="144"/>
      <c r="F119" s="144"/>
      <c r="G119" s="144"/>
      <c r="H119" s="58" t="str">
        <f>IF(SUM(H115,H117:H118)=0," ",SUM(H115,H117:H118))</f>
        <v> </v>
      </c>
      <c r="J119" s="21"/>
    </row>
    <row r="120" spans="1:8" s="110" customFormat="1" ht="30" customHeight="1">
      <c r="A120" s="66" t="str">
        <f>PRZEDMIAR!A217</f>
        <v>x</v>
      </c>
      <c r="B120" s="66" t="str">
        <f>PRZEDMIAR!B217</f>
        <v>M 28.00.00</v>
      </c>
      <c r="C120" s="66"/>
      <c r="D120" s="67" t="str">
        <f>PRZEDMIAR!D217</f>
        <v>WYPOSAŻENIE</v>
      </c>
      <c r="E120" s="66" t="str">
        <f>PRZEDMIAR!E217</f>
        <v>x</v>
      </c>
      <c r="F120" s="59" t="str">
        <f>PRZEDMIAR!F217</f>
        <v>x</v>
      </c>
      <c r="G120" s="66" t="s">
        <v>28</v>
      </c>
      <c r="H120" s="66" t="s">
        <v>28</v>
      </c>
    </row>
    <row r="121" spans="1:10" s="31" customFormat="1" ht="30" customHeight="1">
      <c r="A121" s="18" t="str">
        <f>PRZEDMIAR!A218</f>
        <v>x</v>
      </c>
      <c r="B121" s="18" t="str">
        <f>PRZEDMIAR!B218</f>
        <v>M 28.05.05</v>
      </c>
      <c r="C121" s="18"/>
      <c r="D121" s="27" t="str">
        <f>PRZEDMIAR!D218</f>
        <v>BARIERO-PORĘCZE</v>
      </c>
      <c r="E121" s="18" t="str">
        <f>PRZEDMIAR!E218</f>
        <v>x</v>
      </c>
      <c r="F121" s="32" t="str">
        <f>PRZEDMIAR!F218</f>
        <v>x</v>
      </c>
      <c r="G121" s="18" t="s">
        <v>28</v>
      </c>
      <c r="H121" s="18" t="s">
        <v>28</v>
      </c>
      <c r="J121" s="21"/>
    </row>
    <row r="122" spans="1:10" s="31" customFormat="1" ht="30" customHeight="1">
      <c r="A122" s="29">
        <f>PRZEDMIAR!A219</f>
        <v>48</v>
      </c>
      <c r="B122" s="29" t="str">
        <f>PRZEDMIAR!B219</f>
        <v>M 28.05.05</v>
      </c>
      <c r="C122" s="29" t="str">
        <f>PRZEDMIAR!C219</f>
        <v>01</v>
      </c>
      <c r="D122" s="33" t="str">
        <f>PRZEDMIAR!D219</f>
        <v>Koszt stalowych bariero-poręczy</v>
      </c>
      <c r="E122" s="29" t="str">
        <f>PRZEDMIAR!E219</f>
        <v>m</v>
      </c>
      <c r="F122" s="64">
        <f>PRZEDMIAR!F219</f>
        <v>20</v>
      </c>
      <c r="G122" s="20"/>
      <c r="H122" s="20" t="str">
        <f>IF(ROUND(F122*G122,2)=0," ",ROUND(F122*G122,2))</f>
        <v> </v>
      </c>
      <c r="J122" s="21"/>
    </row>
    <row r="123" spans="1:10" s="31" customFormat="1" ht="30" customHeight="1">
      <c r="A123" s="29">
        <f>PRZEDMIAR!A222</f>
        <v>49</v>
      </c>
      <c r="B123" s="29" t="str">
        <f>PRZEDMIAR!B222</f>
        <v>M 28.05.05</v>
      </c>
      <c r="C123" s="29" t="str">
        <f>PRZEDMIAR!C222</f>
        <v>51</v>
      </c>
      <c r="D123" s="33" t="str">
        <f>PRZEDMIAR!D222</f>
        <v>Montaż stalowych bariero-poręczy o rozstawie słupków 1m</v>
      </c>
      <c r="E123" s="29" t="str">
        <f>PRZEDMIAR!E222</f>
        <v>m</v>
      </c>
      <c r="F123" s="64">
        <f>PRZEDMIAR!F222</f>
        <v>20</v>
      </c>
      <c r="G123" s="20"/>
      <c r="H123" s="20" t="str">
        <f>IF(ROUND(F123*G123,2)=0," ",ROUND(F123*G123,2))</f>
        <v> </v>
      </c>
      <c r="J123" s="21"/>
    </row>
    <row r="124" spans="1:10" s="31" customFormat="1" ht="30" customHeight="1">
      <c r="A124" s="18" t="str">
        <f>PRZEDMIAR!A224</f>
        <v>x</v>
      </c>
      <c r="B124" s="18" t="str">
        <f>PRZEDMIAR!B224</f>
        <v>M 28.15.01</v>
      </c>
      <c r="C124" s="18"/>
      <c r="D124" s="27" t="str">
        <f>PRZEDMIAR!D224</f>
        <v>KRAWĘŻNIKI KAMIENNE</v>
      </c>
      <c r="E124" s="18" t="str">
        <f>PRZEDMIAR!E224</f>
        <v>x</v>
      </c>
      <c r="F124" s="32" t="str">
        <f>PRZEDMIAR!F224</f>
        <v>x</v>
      </c>
      <c r="G124" s="18" t="s">
        <v>28</v>
      </c>
      <c r="H124" s="18" t="s">
        <v>28</v>
      </c>
      <c r="J124" s="21"/>
    </row>
    <row r="125" spans="1:10" s="31" customFormat="1" ht="30" customHeight="1">
      <c r="A125" s="29">
        <f>PRZEDMIAR!A225</f>
        <v>50</v>
      </c>
      <c r="B125" s="29" t="str">
        <f>PRZEDMIAR!B225</f>
        <v>M 28.15.01</v>
      </c>
      <c r="C125" s="29" t="str">
        <f>PRZEDMIAR!C225</f>
        <v>02</v>
      </c>
      <c r="D125" s="33" t="str">
        <f>PRZEDMIAR!D225</f>
        <v>Zakup krawężników kamiennych 20x20cm z kotwami</v>
      </c>
      <c r="E125" s="29" t="str">
        <f>PRZEDMIAR!E225</f>
        <v>m</v>
      </c>
      <c r="F125" s="64">
        <f>PRZEDMIAR!F225</f>
        <v>23.9</v>
      </c>
      <c r="G125" s="20"/>
      <c r="H125" s="20" t="str">
        <f>IF(ROUND(F125*G125,2)=0," ",ROUND(F125*G125,2))</f>
        <v> </v>
      </c>
      <c r="J125" s="21"/>
    </row>
    <row r="126" spans="1:10" s="31" customFormat="1" ht="30" customHeight="1">
      <c r="A126" s="12">
        <f>PRZEDMIAR!A228</f>
        <v>51</v>
      </c>
      <c r="B126" s="12" t="str">
        <f>PRZEDMIAR!B228</f>
        <v>M 28.15.01</v>
      </c>
      <c r="C126" s="12" t="str">
        <f>PRZEDMIAR!C228</f>
        <v>51</v>
      </c>
      <c r="D126" s="19" t="str">
        <f>PRZEDMIAR!D228</f>
        <v>Ustawienie krawężników kamiennych na podlewce z mieszanek niskoskurczowych</v>
      </c>
      <c r="E126" s="12" t="str">
        <f>PRZEDMIAR!E228</f>
        <v>m</v>
      </c>
      <c r="F126" s="20">
        <f>PRZEDMIAR!F228</f>
        <v>23.9</v>
      </c>
      <c r="G126" s="20"/>
      <c r="H126" s="20" t="str">
        <f>IF(ROUND(F126*G126,2)=0," ",ROUND(F126*G126,2))</f>
        <v> </v>
      </c>
      <c r="J126" s="21"/>
    </row>
    <row r="127" spans="1:10" s="31" customFormat="1" ht="25.5">
      <c r="A127" s="12">
        <f>PRZEDMIAR!A229</f>
        <v>52</v>
      </c>
      <c r="B127" s="12" t="str">
        <f>PRZEDMIAR!B229</f>
        <v>M 28.15.01</v>
      </c>
      <c r="C127" s="12" t="str">
        <f>PRZEDMIAR!C229</f>
        <v>68</v>
      </c>
      <c r="D127" s="19" t="str">
        <f>PRZEDMIAR!D229</f>
        <v>Wykonanie uszczelnienia pomiędzy krawężnikiem i betonem chodnika  oraz między deską gzymsową a kapą chodnikową</v>
      </c>
      <c r="E127" s="12" t="str">
        <f>PRZEDMIAR!E229</f>
        <v>m</v>
      </c>
      <c r="F127" s="20">
        <f>PRZEDMIAR!F229</f>
        <v>47.8</v>
      </c>
      <c r="G127" s="20"/>
      <c r="H127" s="20" t="str">
        <f>IF(ROUND(F127*G127,2)=0," ",ROUND(F127*G127,2))</f>
        <v> </v>
      </c>
      <c r="J127" s="21"/>
    </row>
    <row r="128" spans="1:10" s="31" customFormat="1" ht="30" customHeight="1">
      <c r="A128" s="29"/>
      <c r="B128" s="34"/>
      <c r="C128" s="35"/>
      <c r="D128" s="144" t="str">
        <f>"RAZEM: "&amp;D120&amp;""</f>
        <v>RAZEM: WYPOSAŻENIE</v>
      </c>
      <c r="E128" s="144"/>
      <c r="F128" s="144"/>
      <c r="G128" s="144"/>
      <c r="H128" s="58" t="str">
        <f>IF(SUM(H122:H123,H125:H127)=0," ",SUM(H122:H123,H125:H127))</f>
        <v> </v>
      </c>
      <c r="J128" s="21"/>
    </row>
    <row r="129" spans="1:8" s="110" customFormat="1" ht="30" customHeight="1">
      <c r="A129" s="66" t="str">
        <f>PRZEDMIAR!A232</f>
        <v>x</v>
      </c>
      <c r="B129" s="66" t="str">
        <f>PRZEDMIAR!B232</f>
        <v>M 29.00.00</v>
      </c>
      <c r="C129" s="66"/>
      <c r="D129" s="67" t="str">
        <f>PRZEDMIAR!D232</f>
        <v>ROBOTY PRZYOBIEKTOWE</v>
      </c>
      <c r="E129" s="66" t="str">
        <f>PRZEDMIAR!E232</f>
        <v>x</v>
      </c>
      <c r="F129" s="59" t="str">
        <f>PRZEDMIAR!F232</f>
        <v>x</v>
      </c>
      <c r="G129" s="66" t="s">
        <v>28</v>
      </c>
      <c r="H129" s="66" t="s">
        <v>28</v>
      </c>
    </row>
    <row r="130" spans="1:10" s="31" customFormat="1" ht="30" customHeight="1">
      <c r="A130" s="18" t="str">
        <f>PRZEDMIAR!A233</f>
        <v>x</v>
      </c>
      <c r="B130" s="18" t="str">
        <f>PRZEDMIAR!B233</f>
        <v>M 29.01.01</v>
      </c>
      <c r="C130" s="18"/>
      <c r="D130" s="27" t="str">
        <f>PRZEDMIAR!D233</f>
        <v>ODWODNIENIE ZASYPKI PRZYCZÓŁKA</v>
      </c>
      <c r="E130" s="18" t="str">
        <f>PRZEDMIAR!E233</f>
        <v>x</v>
      </c>
      <c r="F130" s="32" t="str">
        <f>PRZEDMIAR!F233</f>
        <v>x</v>
      </c>
      <c r="G130" s="18" t="s">
        <v>28</v>
      </c>
      <c r="H130" s="18" t="s">
        <v>28</v>
      </c>
      <c r="J130" s="21"/>
    </row>
    <row r="131" spans="1:10" s="31" customFormat="1" ht="30" customHeight="1">
      <c r="A131" s="12">
        <f>PRZEDMIAR!A234</f>
        <v>53</v>
      </c>
      <c r="B131" s="12" t="str">
        <f>PRZEDMIAR!B234</f>
        <v>M 29.01.01</v>
      </c>
      <c r="C131" s="12" t="str">
        <f>PRZEDMIAR!C234</f>
        <v>13</v>
      </c>
      <c r="D131" s="19" t="str">
        <f>PRZEDMIAR!D234</f>
        <v>Wykonanie odwodnienia zasypki przyczółka z użyciem folii kubełkowej </v>
      </c>
      <c r="E131" s="12" t="str">
        <f>PRZEDMIAR!E234</f>
        <v>m2</v>
      </c>
      <c r="F131" s="20">
        <f>PRZEDMIAR!F234</f>
        <v>16.8</v>
      </c>
      <c r="G131" s="20"/>
      <c r="H131" s="20"/>
      <c r="J131" s="21"/>
    </row>
    <row r="132" spans="1:10" s="31" customFormat="1" ht="30" customHeight="1">
      <c r="A132" s="12">
        <f>PRZEDMIAR!A237</f>
        <v>54</v>
      </c>
      <c r="B132" s="12" t="str">
        <f>PRZEDMIAR!B237</f>
        <v>M 29.01.01</v>
      </c>
      <c r="C132" s="12" t="str">
        <f>PRZEDMIAR!C237</f>
        <v>14</v>
      </c>
      <c r="D132" s="19" t="str">
        <f>PRZEDMIAR!D237</f>
        <v>Wykonanie odwodnienia zasypki przyczółka rurą perforowaną fi 125 mm otoczonej kruszywem łamanym 8/16 w osłonie geowłókniny</v>
      </c>
      <c r="E132" s="12" t="str">
        <f>PRZEDMIAR!E237</f>
        <v>m</v>
      </c>
      <c r="F132" s="20">
        <f>PRZEDMIAR!F237</f>
        <v>16</v>
      </c>
      <c r="G132" s="20"/>
      <c r="H132" s="20"/>
      <c r="J132" s="21"/>
    </row>
    <row r="133" spans="1:10" s="31" customFormat="1" ht="30" customHeight="1">
      <c r="A133" s="18" t="str">
        <f>PRZEDMIAR!A240</f>
        <v>x</v>
      </c>
      <c r="B133" s="18" t="str">
        <f>PRZEDMIAR!B240</f>
        <v>M 29.03.01</v>
      </c>
      <c r="C133" s="18"/>
      <c r="D133" s="27" t="str">
        <f>PRZEDMIAR!D240</f>
        <v>WYKONANIE ZASYPKI PRZYCZÓŁKA </v>
      </c>
      <c r="E133" s="18" t="str">
        <f>PRZEDMIAR!E240</f>
        <v>x</v>
      </c>
      <c r="F133" s="32" t="str">
        <f>PRZEDMIAR!F240</f>
        <v>x</v>
      </c>
      <c r="G133" s="18" t="s">
        <v>28</v>
      </c>
      <c r="H133" s="18" t="s">
        <v>28</v>
      </c>
      <c r="J133" s="21"/>
    </row>
    <row r="134" spans="1:10" s="31" customFormat="1" ht="30" customHeight="1">
      <c r="A134" s="12">
        <f>PRZEDMIAR!A241</f>
        <v>55</v>
      </c>
      <c r="B134" s="12" t="str">
        <f>PRZEDMIAR!B241</f>
        <v>M 29.03.01</v>
      </c>
      <c r="C134" s="12" t="str">
        <f>PRZEDMIAR!C241</f>
        <v>11</v>
      </c>
      <c r="D134" s="19" t="str">
        <f>PRZEDMIAR!D241</f>
        <v>Wykonanie zasypki przyczółka - zasypanie przestrzeni za ścianami przyczółka gruntem niespoistym</v>
      </c>
      <c r="E134" s="12" t="str">
        <f>PRZEDMIAR!E241</f>
        <v>m3</v>
      </c>
      <c r="F134" s="20">
        <f>PRZEDMIAR!F241</f>
        <v>41</v>
      </c>
      <c r="G134" s="20"/>
      <c r="H134" s="20"/>
      <c r="J134" s="21"/>
    </row>
    <row r="135" spans="1:10" s="31" customFormat="1" ht="30" customHeight="1">
      <c r="A135" s="18" t="str">
        <f>PRZEDMIAR!A244</f>
        <v>x</v>
      </c>
      <c r="B135" s="18" t="str">
        <f>PRZEDMIAR!B244</f>
        <v>M 29.30.01</v>
      </c>
      <c r="C135" s="18"/>
      <c r="D135" s="27" t="str">
        <f>PRZEDMIAR!D244</f>
        <v>UMOCNIENIE KONSTRUKCJAMI KAMIENNYMI SKARP I DNA RZEK, KANALÓW I ROWÓW</v>
      </c>
      <c r="E135" s="18" t="str">
        <f>PRZEDMIAR!E244</f>
        <v>x</v>
      </c>
      <c r="F135" s="32" t="str">
        <f>PRZEDMIAR!F244</f>
        <v>x</v>
      </c>
      <c r="G135" s="18" t="s">
        <v>28</v>
      </c>
      <c r="H135" s="18" t="s">
        <v>28</v>
      </c>
      <c r="J135" s="21"/>
    </row>
    <row r="136" spans="1:10" s="31" customFormat="1" ht="30" customHeight="1">
      <c r="A136" s="12">
        <f>PRZEDMIAR!A245</f>
        <v>56</v>
      </c>
      <c r="B136" s="12" t="str">
        <f>PRZEDMIAR!B245</f>
        <v>M 29.30.01</v>
      </c>
      <c r="C136" s="12" t="str">
        <f>PRZEDMIAR!C245</f>
        <v>01</v>
      </c>
      <c r="D136" s="19" t="str">
        <f>PRZEDMIAR!D245</f>
        <v>Profilowanie i oczyszczenie dna rzeki</v>
      </c>
      <c r="E136" s="12" t="str">
        <f>PRZEDMIAR!E245</f>
        <v>m3</v>
      </c>
      <c r="F136" s="20">
        <f>PRZEDMIAR!F245</f>
        <v>125</v>
      </c>
      <c r="G136" s="13"/>
      <c r="H136" s="20" t="str">
        <f>IF(ROUND(F136*G136,2)=0," ",ROUND(F136*G136,2))</f>
        <v> </v>
      </c>
      <c r="J136" s="21"/>
    </row>
    <row r="137" spans="1:10" s="31" customFormat="1" ht="30" customHeight="1">
      <c r="A137" s="12">
        <f>PRZEDMIAR!A248</f>
        <v>57</v>
      </c>
      <c r="B137" s="12" t="str">
        <f>PRZEDMIAR!B248</f>
        <v>M 29.30.01</v>
      </c>
      <c r="C137" s="12" t="str">
        <f>PRZEDMIAR!C248</f>
        <v>11</v>
      </c>
      <c r="D137" s="19" t="str">
        <f>PRZEDMIAR!D248</f>
        <v>Wykonanie koszy siatkowo - kamiennych 100x50 cm</v>
      </c>
      <c r="E137" s="12" t="str">
        <f>PRZEDMIAR!E248</f>
        <v>m3</v>
      </c>
      <c r="F137" s="20">
        <f>PRZEDMIAR!F248</f>
        <v>149</v>
      </c>
      <c r="G137" s="12"/>
      <c r="H137" s="20"/>
      <c r="J137" s="21"/>
    </row>
    <row r="138" spans="1:10" s="31" customFormat="1" ht="30" customHeight="1">
      <c r="A138" s="12">
        <f>PRZEDMIAR!A251</f>
        <v>58</v>
      </c>
      <c r="B138" s="12" t="str">
        <f>PRZEDMIAR!B251</f>
        <v>M 29.30.01</v>
      </c>
      <c r="C138" s="12" t="str">
        <f>PRZEDMIAR!C251</f>
        <v>11</v>
      </c>
      <c r="D138" s="19" t="str">
        <f>PRZEDMIAR!D251</f>
        <v>Wykonanie koszy siatkowo - kamiennych 100x100 cm</v>
      </c>
      <c r="E138" s="12" t="str">
        <f>PRZEDMIAR!E251</f>
        <v>m3</v>
      </c>
      <c r="F138" s="20">
        <f>PRZEDMIAR!F251</f>
        <v>108</v>
      </c>
      <c r="G138" s="12"/>
      <c r="H138" s="20"/>
      <c r="J138" s="21"/>
    </row>
    <row r="139" spans="1:10" s="31" customFormat="1" ht="30" customHeight="1">
      <c r="A139" s="29"/>
      <c r="B139" s="34"/>
      <c r="C139" s="35"/>
      <c r="D139" s="144" t="str">
        <f>"RAZEM: "&amp;D129&amp;""</f>
        <v>RAZEM: ROBOTY PRZYOBIEKTOWE</v>
      </c>
      <c r="E139" s="144"/>
      <c r="F139" s="144"/>
      <c r="G139" s="144"/>
      <c r="H139" s="58" t="str">
        <f>IF(SUM(H131:H132,H134,H136:H138)=0," ",SUM(H131:H132,H134,H136:H138))</f>
        <v> </v>
      </c>
      <c r="J139" s="21"/>
    </row>
    <row r="140" spans="1:8" s="110" customFormat="1" ht="30" customHeight="1">
      <c r="A140" s="66" t="str">
        <f>PRZEDMIAR!A254</f>
        <v>x</v>
      </c>
      <c r="B140" s="66" t="str">
        <f>PRZEDMIAR!B254</f>
        <v>M 30.00.00</v>
      </c>
      <c r="C140" s="66"/>
      <c r="D140" s="67" t="str">
        <f>PRZEDMIAR!D254</f>
        <v>ROBOTY NAWIERZCHNIOWE I ZABEZPIECZAJĄCE</v>
      </c>
      <c r="E140" s="66" t="str">
        <f>PRZEDMIAR!E254</f>
        <v>x</v>
      </c>
      <c r="F140" s="59" t="str">
        <f>PRZEDMIAR!F254</f>
        <v>x</v>
      </c>
      <c r="G140" s="66" t="s">
        <v>28</v>
      </c>
      <c r="H140" s="66" t="s">
        <v>28</v>
      </c>
    </row>
    <row r="141" spans="1:10" s="31" customFormat="1" ht="30" customHeight="1">
      <c r="A141" s="18" t="str">
        <f>PRZEDMIAR!A255</f>
        <v>x</v>
      </c>
      <c r="B141" s="18" t="str">
        <f>PRZEDMIAR!B255</f>
        <v>M 30.05.02</v>
      </c>
      <c r="C141" s="18"/>
      <c r="D141" s="27" t="str">
        <f>PRZEDMIAR!D255</f>
        <v>NAWIERZCHNIA CHODNIKA Z ŻYWIC SYNTETYCZNYCH</v>
      </c>
      <c r="E141" s="18" t="str">
        <f>PRZEDMIAR!E255</f>
        <v>x</v>
      </c>
      <c r="F141" s="32" t="str">
        <f>PRZEDMIAR!F255</f>
        <v>x</v>
      </c>
      <c r="G141" s="18" t="s">
        <v>28</v>
      </c>
      <c r="H141" s="18" t="s">
        <v>28</v>
      </c>
      <c r="J141" s="21"/>
    </row>
    <row r="142" spans="1:10" s="31" customFormat="1" ht="30" customHeight="1">
      <c r="A142" s="12">
        <f>PRZEDMIAR!A256</f>
        <v>59</v>
      </c>
      <c r="B142" s="12" t="str">
        <f>PRZEDMIAR!B256</f>
        <v>M 30.05.02</v>
      </c>
      <c r="C142" s="12">
        <f>PRZEDMIAR!C256</f>
        <v>53</v>
      </c>
      <c r="D142" s="19" t="str">
        <f>PRZEDMIAR!D256</f>
        <v>Wykonanie nawierzchni chodnika z żywicy poliuretanowo - epoksydowej gr. 6mm</v>
      </c>
      <c r="E142" s="12" t="str">
        <f>PRZEDMIAR!E256</f>
        <v>m2</v>
      </c>
      <c r="F142" s="20">
        <f>PRZEDMIAR!F256</f>
        <v>19.12</v>
      </c>
      <c r="G142" s="20"/>
      <c r="H142" s="20" t="str">
        <f>IF(ROUND(F142*G142,2)=0," ",ROUND(F142*G142,2))</f>
        <v> </v>
      </c>
      <c r="J142" s="115"/>
    </row>
    <row r="143" spans="1:10" s="31" customFormat="1" ht="30" customHeight="1">
      <c r="A143" s="29"/>
      <c r="B143" s="34"/>
      <c r="C143" s="35"/>
      <c r="D143" s="144" t="str">
        <f>"RAZEM: "&amp;D140&amp;""</f>
        <v>RAZEM: ROBOTY NAWIERZCHNIOWE I ZABEZPIECZAJĄCE</v>
      </c>
      <c r="E143" s="144"/>
      <c r="F143" s="144"/>
      <c r="G143" s="144"/>
      <c r="H143" s="58" t="str">
        <f>IF(SUM(H142)=0," ",SUM(H142))</f>
        <v> </v>
      </c>
      <c r="J143" s="21"/>
    </row>
    <row r="144" spans="1:10" s="31" customFormat="1" ht="30" customHeight="1">
      <c r="A144" s="145" t="str">
        <f>"RAZEM: "&amp;A64&amp;""</f>
        <v>RAZEM: ROBOTY MOSTOWE</v>
      </c>
      <c r="B144" s="146"/>
      <c r="C144" s="146"/>
      <c r="D144" s="146"/>
      <c r="E144" s="146"/>
      <c r="F144" s="146"/>
      <c r="G144" s="146"/>
      <c r="H144" s="59" t="str">
        <f>IF(SUM(H143,H139,H128,H119,H111,H105,H101,H96,H88,H83,H75,H71)=0," ",SUM(H143,H139,H128,H119,H111,H105,H101,H96,H88,H83,H75,H71))</f>
        <v> </v>
      </c>
      <c r="J144" s="21"/>
    </row>
    <row r="145" spans="1:10" s="31" customFormat="1" ht="40.5" customHeight="1">
      <c r="A145" s="143" t="str">
        <f>"RAZEM: "&amp;A3&amp;""</f>
        <v>RAZEM: REMONT MOSTU </v>
      </c>
      <c r="B145" s="143"/>
      <c r="C145" s="143"/>
      <c r="D145" s="143"/>
      <c r="E145" s="143"/>
      <c r="F145" s="143"/>
      <c r="G145" s="143"/>
      <c r="H145" s="60" t="str">
        <f>IF(SUM(H144,H63)=0," ",(SUM(H144,H63)))</f>
        <v> </v>
      </c>
      <c r="J145" s="61"/>
    </row>
    <row r="146" spans="1:10" s="31" customFormat="1" ht="30" customHeight="1">
      <c r="A146" s="143" t="s">
        <v>188</v>
      </c>
      <c r="B146" s="143"/>
      <c r="C146" s="143"/>
      <c r="D146" s="143"/>
      <c r="E146" s="143"/>
      <c r="F146" s="143"/>
      <c r="G146" s="143"/>
      <c r="H146" s="60"/>
      <c r="J146" s="21"/>
    </row>
    <row r="147" spans="1:10" s="31" customFormat="1" ht="30" customHeight="1">
      <c r="A147" s="143" t="str">
        <f>"RAZEM: "&amp;A3&amp;""</f>
        <v>RAZEM: REMONT MOSTU </v>
      </c>
      <c r="B147" s="143"/>
      <c r="C147" s="143"/>
      <c r="D147" s="143"/>
      <c r="E147" s="143"/>
      <c r="F147" s="143"/>
      <c r="G147" s="143"/>
      <c r="H147" s="60"/>
      <c r="J147" s="21"/>
    </row>
    <row r="148" spans="1:10" s="31" customFormat="1" ht="30" customHeight="1">
      <c r="A148" s="36"/>
      <c r="B148" s="36"/>
      <c r="C148" s="37"/>
      <c r="D148" s="38"/>
      <c r="E148" s="39"/>
      <c r="F148" s="70"/>
      <c r="G148" s="40"/>
      <c r="H148" s="40"/>
      <c r="J148" s="21"/>
    </row>
    <row r="149" spans="1:10" s="31" customFormat="1" ht="57" customHeight="1">
      <c r="A149" s="36"/>
      <c r="B149" s="36"/>
      <c r="C149" s="37"/>
      <c r="D149" s="38"/>
      <c r="E149" s="39"/>
      <c r="F149" s="70"/>
      <c r="G149" s="40"/>
      <c r="H149" s="40"/>
      <c r="J149" s="21"/>
    </row>
    <row r="150" spans="1:10" s="31" customFormat="1" ht="30" customHeight="1">
      <c r="A150" s="36"/>
      <c r="B150" s="36"/>
      <c r="C150" s="37"/>
      <c r="D150" s="38"/>
      <c r="E150" s="39"/>
      <c r="F150" s="70"/>
      <c r="G150" s="40"/>
      <c r="H150" s="40"/>
      <c r="J150" s="21"/>
    </row>
    <row r="151" spans="1:10" s="31" customFormat="1" ht="30" customHeight="1">
      <c r="A151" s="36"/>
      <c r="B151" s="36"/>
      <c r="C151" s="37"/>
      <c r="D151" s="38"/>
      <c r="E151" s="39"/>
      <c r="F151" s="70"/>
      <c r="G151" s="40"/>
      <c r="H151" s="40"/>
      <c r="J151" s="21"/>
    </row>
    <row r="152" spans="1:10" s="31" customFormat="1" ht="30" customHeight="1">
      <c r="A152" s="36"/>
      <c r="B152" s="36"/>
      <c r="C152" s="37"/>
      <c r="D152" s="38"/>
      <c r="E152" s="39"/>
      <c r="F152" s="70"/>
      <c r="G152" s="40"/>
      <c r="H152" s="40"/>
      <c r="J152" s="21"/>
    </row>
    <row r="153" spans="1:10" s="39" customFormat="1" ht="30" customHeight="1">
      <c r="A153" s="36"/>
      <c r="B153" s="36"/>
      <c r="C153" s="37"/>
      <c r="D153" s="38"/>
      <c r="F153" s="70"/>
      <c r="G153" s="40"/>
      <c r="H153" s="40"/>
      <c r="J153" s="21"/>
    </row>
    <row r="154" spans="1:10" s="39" customFormat="1" ht="30" customHeight="1">
      <c r="A154" s="36"/>
      <c r="B154" s="36"/>
      <c r="C154" s="37"/>
      <c r="D154" s="38"/>
      <c r="F154" s="70"/>
      <c r="G154" s="40"/>
      <c r="H154" s="40"/>
      <c r="J154" s="21"/>
    </row>
    <row r="155" spans="1:10" s="39" customFormat="1" ht="30" customHeight="1">
      <c r="A155" s="36"/>
      <c r="B155" s="36"/>
      <c r="C155" s="37"/>
      <c r="D155" s="38"/>
      <c r="F155" s="70"/>
      <c r="G155" s="40"/>
      <c r="H155" s="40"/>
      <c r="J155" s="21"/>
    </row>
    <row r="156" spans="1:10" s="39" customFormat="1" ht="54.75" customHeight="1">
      <c r="A156" s="36"/>
      <c r="B156" s="36"/>
      <c r="C156" s="37"/>
      <c r="D156" s="38"/>
      <c r="F156" s="70"/>
      <c r="G156" s="40"/>
      <c r="H156" s="40"/>
      <c r="J156" s="21"/>
    </row>
    <row r="157" spans="1:10" s="39" customFormat="1" ht="30" customHeight="1">
      <c r="A157" s="36"/>
      <c r="B157" s="36"/>
      <c r="C157" s="37"/>
      <c r="D157" s="38"/>
      <c r="F157" s="70"/>
      <c r="G157" s="40"/>
      <c r="H157" s="40"/>
      <c r="J157" s="21"/>
    </row>
    <row r="158" spans="1:10" s="39" customFormat="1" ht="30" customHeight="1">
      <c r="A158" s="36"/>
      <c r="B158" s="36"/>
      <c r="C158" s="37"/>
      <c r="D158" s="38"/>
      <c r="F158" s="70"/>
      <c r="G158" s="40"/>
      <c r="H158" s="40"/>
      <c r="J158" s="21"/>
    </row>
    <row r="159" spans="1:10" s="39" customFormat="1" ht="39.75" customHeight="1">
      <c r="A159" s="36"/>
      <c r="B159" s="36"/>
      <c r="C159" s="37"/>
      <c r="D159" s="38"/>
      <c r="F159" s="70"/>
      <c r="G159" s="40"/>
      <c r="H159" s="40"/>
      <c r="J159" s="21"/>
    </row>
    <row r="160" spans="1:10" s="39" customFormat="1" ht="30" customHeight="1">
      <c r="A160" s="36"/>
      <c r="B160" s="36"/>
      <c r="C160" s="37"/>
      <c r="D160" s="38"/>
      <c r="F160" s="70"/>
      <c r="G160" s="40"/>
      <c r="H160" s="40"/>
      <c r="J160" s="21"/>
    </row>
    <row r="161" spans="1:10" s="39" customFormat="1" ht="30" customHeight="1">
      <c r="A161" s="36"/>
      <c r="B161" s="36"/>
      <c r="C161" s="37"/>
      <c r="D161" s="38"/>
      <c r="F161" s="70"/>
      <c r="G161" s="40"/>
      <c r="H161" s="40"/>
      <c r="J161" s="21"/>
    </row>
    <row r="162" spans="1:10" s="39" customFormat="1" ht="30" customHeight="1">
      <c r="A162" s="36"/>
      <c r="B162" s="36"/>
      <c r="C162" s="37"/>
      <c r="D162" s="38"/>
      <c r="F162" s="70"/>
      <c r="G162" s="40"/>
      <c r="H162" s="40"/>
      <c r="J162" s="21"/>
    </row>
    <row r="163" spans="1:10" s="39" customFormat="1" ht="56.25" customHeight="1">
      <c r="A163" s="36"/>
      <c r="B163" s="36"/>
      <c r="C163" s="37"/>
      <c r="D163" s="38"/>
      <c r="F163" s="70"/>
      <c r="G163" s="40"/>
      <c r="H163" s="40"/>
      <c r="J163" s="21"/>
    </row>
    <row r="164" spans="1:10" s="39" customFormat="1" ht="30" customHeight="1">
      <c r="A164" s="36"/>
      <c r="B164" s="36"/>
      <c r="C164" s="37"/>
      <c r="D164" s="38"/>
      <c r="F164" s="70"/>
      <c r="G164" s="40"/>
      <c r="H164" s="40"/>
      <c r="J164" s="21"/>
    </row>
    <row r="165" spans="1:10" s="39" customFormat="1" ht="30" customHeight="1">
      <c r="A165" s="36"/>
      <c r="B165" s="36"/>
      <c r="C165" s="37"/>
      <c r="D165" s="38"/>
      <c r="F165" s="70"/>
      <c r="G165" s="40"/>
      <c r="H165" s="40"/>
      <c r="J165" s="21"/>
    </row>
    <row r="166" spans="1:10" s="39" customFormat="1" ht="30" customHeight="1">
      <c r="A166" s="36"/>
      <c r="B166" s="36"/>
      <c r="C166" s="37"/>
      <c r="D166" s="38"/>
      <c r="F166" s="70"/>
      <c r="G166" s="40"/>
      <c r="H166" s="40"/>
      <c r="J166" s="21"/>
    </row>
    <row r="167" spans="1:10" s="39" customFormat="1" ht="30" customHeight="1">
      <c r="A167" s="36"/>
      <c r="B167" s="36"/>
      <c r="C167" s="37"/>
      <c r="D167" s="38"/>
      <c r="F167" s="70"/>
      <c r="G167" s="40"/>
      <c r="H167" s="40"/>
      <c r="J167" s="21"/>
    </row>
    <row r="168" spans="1:10" s="39" customFormat="1" ht="30" customHeight="1">
      <c r="A168" s="36"/>
      <c r="B168" s="36"/>
      <c r="C168" s="37"/>
      <c r="D168" s="38"/>
      <c r="F168" s="70"/>
      <c r="G168" s="40"/>
      <c r="H168" s="40"/>
      <c r="J168" s="21"/>
    </row>
    <row r="169" spans="1:10" s="39" customFormat="1" ht="30" customHeight="1">
      <c r="A169" s="36"/>
      <c r="B169" s="36"/>
      <c r="C169" s="37"/>
      <c r="D169" s="38"/>
      <c r="F169" s="70"/>
      <c r="G169" s="40"/>
      <c r="H169" s="40"/>
      <c r="J169" s="21"/>
    </row>
    <row r="170" spans="1:10" s="39" customFormat="1" ht="30" customHeight="1">
      <c r="A170" s="36"/>
      <c r="B170" s="36"/>
      <c r="C170" s="37"/>
      <c r="D170" s="38"/>
      <c r="F170" s="70"/>
      <c r="G170" s="40"/>
      <c r="H170" s="40"/>
      <c r="J170" s="21"/>
    </row>
    <row r="171" spans="1:10" s="39" customFormat="1" ht="30" customHeight="1">
      <c r="A171" s="36"/>
      <c r="B171" s="36"/>
      <c r="C171" s="37"/>
      <c r="D171" s="38"/>
      <c r="F171" s="70"/>
      <c r="G171" s="40"/>
      <c r="H171" s="40"/>
      <c r="J171" s="21"/>
    </row>
    <row r="172" spans="1:10" s="39" customFormat="1" ht="30" customHeight="1">
      <c r="A172" s="41"/>
      <c r="B172" s="41"/>
      <c r="C172" s="42"/>
      <c r="D172" s="43"/>
      <c r="E172" s="21"/>
      <c r="F172" s="71"/>
      <c r="G172" s="44"/>
      <c r="H172" s="44"/>
      <c r="J172" s="21"/>
    </row>
    <row r="173" spans="1:10" s="39" customFormat="1" ht="30" customHeight="1">
      <c r="A173" s="41"/>
      <c r="B173" s="41"/>
      <c r="C173" s="42"/>
      <c r="D173" s="43"/>
      <c r="E173" s="21"/>
      <c r="F173" s="71"/>
      <c r="G173" s="44"/>
      <c r="H173" s="44"/>
      <c r="J173" s="21"/>
    </row>
    <row r="174" spans="1:10" s="39" customFormat="1" ht="30" customHeight="1">
      <c r="A174" s="41"/>
      <c r="B174" s="41"/>
      <c r="C174" s="42"/>
      <c r="D174" s="43"/>
      <c r="E174" s="21"/>
      <c r="F174" s="71"/>
      <c r="G174" s="44"/>
      <c r="H174" s="44"/>
      <c r="J174" s="21"/>
    </row>
    <row r="175" spans="1:10" s="39" customFormat="1" ht="30" customHeight="1">
      <c r="A175" s="41"/>
      <c r="B175" s="41"/>
      <c r="C175" s="42"/>
      <c r="D175" s="43"/>
      <c r="E175" s="21"/>
      <c r="F175" s="71"/>
      <c r="G175" s="44"/>
      <c r="H175" s="44"/>
      <c r="J175" s="21"/>
    </row>
    <row r="176" spans="1:10" s="39" customFormat="1" ht="30" customHeight="1">
      <c r="A176" s="41"/>
      <c r="B176" s="41"/>
      <c r="C176" s="42"/>
      <c r="D176" s="43"/>
      <c r="E176" s="21"/>
      <c r="F176" s="71"/>
      <c r="G176" s="44"/>
      <c r="H176" s="44"/>
      <c r="J176" s="21"/>
    </row>
    <row r="177" spans="1:10" s="39" customFormat="1" ht="30" customHeight="1">
      <c r="A177" s="41"/>
      <c r="B177" s="41"/>
      <c r="C177" s="42"/>
      <c r="D177" s="43"/>
      <c r="E177" s="21"/>
      <c r="F177" s="71"/>
      <c r="G177" s="44"/>
      <c r="H177" s="44"/>
      <c r="J177" s="21"/>
    </row>
    <row r="178" spans="1:10" s="39" customFormat="1" ht="30" customHeight="1">
      <c r="A178" s="41"/>
      <c r="B178" s="41"/>
      <c r="C178" s="42"/>
      <c r="D178" s="43"/>
      <c r="E178" s="21"/>
      <c r="F178" s="71"/>
      <c r="G178" s="44"/>
      <c r="H178" s="44"/>
      <c r="J178" s="21"/>
    </row>
    <row r="179" spans="1:10" s="39" customFormat="1" ht="30" customHeight="1">
      <c r="A179" s="41"/>
      <c r="B179" s="41"/>
      <c r="C179" s="42"/>
      <c r="D179" s="43"/>
      <c r="E179" s="21"/>
      <c r="F179" s="71"/>
      <c r="G179" s="44"/>
      <c r="H179" s="44"/>
      <c r="J179" s="21"/>
    </row>
    <row r="180" spans="1:10" s="39" customFormat="1" ht="30" customHeight="1">
      <c r="A180" s="41"/>
      <c r="B180" s="41"/>
      <c r="C180" s="42"/>
      <c r="D180" s="43"/>
      <c r="E180" s="21"/>
      <c r="F180" s="71"/>
      <c r="G180" s="44"/>
      <c r="H180" s="44"/>
      <c r="J180" s="21"/>
    </row>
    <row r="181" spans="1:10" s="39" customFormat="1" ht="30" customHeight="1">
      <c r="A181" s="41"/>
      <c r="B181" s="41"/>
      <c r="C181" s="42"/>
      <c r="D181" s="43"/>
      <c r="E181" s="21"/>
      <c r="F181" s="71"/>
      <c r="G181" s="44"/>
      <c r="H181" s="44"/>
      <c r="J181" s="21"/>
    </row>
    <row r="182" spans="1:10" s="39" customFormat="1" ht="30" customHeight="1">
      <c r="A182" s="41"/>
      <c r="B182" s="41"/>
      <c r="C182" s="42"/>
      <c r="D182" s="43"/>
      <c r="E182" s="21"/>
      <c r="F182" s="71"/>
      <c r="G182" s="44"/>
      <c r="H182" s="44"/>
      <c r="J182" s="21"/>
    </row>
    <row r="183" spans="1:10" s="39" customFormat="1" ht="30" customHeight="1">
      <c r="A183" s="41"/>
      <c r="B183" s="41"/>
      <c r="C183" s="42"/>
      <c r="D183" s="43"/>
      <c r="E183" s="21"/>
      <c r="F183" s="71"/>
      <c r="G183" s="44"/>
      <c r="H183" s="44"/>
      <c r="J183" s="21"/>
    </row>
    <row r="184" spans="1:10" s="39" customFormat="1" ht="30" customHeight="1">
      <c r="A184" s="41"/>
      <c r="B184" s="41"/>
      <c r="C184" s="42"/>
      <c r="D184" s="43"/>
      <c r="E184" s="21"/>
      <c r="F184" s="71"/>
      <c r="G184" s="44"/>
      <c r="H184" s="44"/>
      <c r="J184" s="21"/>
    </row>
    <row r="185" spans="1:10" s="39" customFormat="1" ht="30" customHeight="1">
      <c r="A185" s="41"/>
      <c r="B185" s="41"/>
      <c r="C185" s="42"/>
      <c r="D185" s="43"/>
      <c r="E185" s="21"/>
      <c r="F185" s="71"/>
      <c r="G185" s="44"/>
      <c r="H185" s="44"/>
      <c r="J185" s="21"/>
    </row>
    <row r="186" spans="1:10" s="39" customFormat="1" ht="30" customHeight="1">
      <c r="A186" s="41"/>
      <c r="B186" s="41"/>
      <c r="C186" s="42"/>
      <c r="D186" s="43"/>
      <c r="E186" s="21"/>
      <c r="F186" s="71"/>
      <c r="G186" s="44"/>
      <c r="H186" s="44"/>
      <c r="J186" s="21"/>
    </row>
    <row r="187" spans="1:10" s="39" customFormat="1" ht="30" customHeight="1">
      <c r="A187" s="41"/>
      <c r="B187" s="41"/>
      <c r="C187" s="42"/>
      <c r="D187" s="43"/>
      <c r="E187" s="21"/>
      <c r="F187" s="71"/>
      <c r="G187" s="44"/>
      <c r="H187" s="44"/>
      <c r="J187" s="21"/>
    </row>
    <row r="188" spans="1:10" s="39" customFormat="1" ht="30" customHeight="1">
      <c r="A188" s="41"/>
      <c r="B188" s="41"/>
      <c r="C188" s="42"/>
      <c r="D188" s="43"/>
      <c r="E188" s="21"/>
      <c r="F188" s="71"/>
      <c r="G188" s="44"/>
      <c r="H188" s="44"/>
      <c r="J188" s="21"/>
    </row>
    <row r="189" spans="1:10" s="39" customFormat="1" ht="30" customHeight="1">
      <c r="A189" s="41"/>
      <c r="B189" s="41"/>
      <c r="C189" s="42"/>
      <c r="D189" s="43"/>
      <c r="E189" s="21"/>
      <c r="F189" s="71"/>
      <c r="G189" s="44"/>
      <c r="H189" s="44"/>
      <c r="J189" s="21"/>
    </row>
    <row r="190" spans="1:10" s="39" customFormat="1" ht="30" customHeight="1">
      <c r="A190" s="41"/>
      <c r="B190" s="41"/>
      <c r="C190" s="42"/>
      <c r="D190" s="43"/>
      <c r="E190" s="21"/>
      <c r="F190" s="71"/>
      <c r="G190" s="44"/>
      <c r="H190" s="44"/>
      <c r="J190" s="21"/>
    </row>
    <row r="191" spans="1:10" s="39" customFormat="1" ht="30" customHeight="1">
      <c r="A191" s="41"/>
      <c r="B191" s="41"/>
      <c r="C191" s="42"/>
      <c r="D191" s="43"/>
      <c r="E191" s="21"/>
      <c r="F191" s="71"/>
      <c r="G191" s="44"/>
      <c r="H191" s="44"/>
      <c r="J191" s="21"/>
    </row>
    <row r="192" spans="1:10" s="39" customFormat="1" ht="30" customHeight="1">
      <c r="A192" s="41"/>
      <c r="B192" s="41"/>
      <c r="C192" s="42"/>
      <c r="D192" s="43"/>
      <c r="E192" s="21"/>
      <c r="F192" s="71"/>
      <c r="G192" s="44"/>
      <c r="H192" s="44"/>
      <c r="J192" s="21"/>
    </row>
    <row r="193" spans="1:10" s="39" customFormat="1" ht="30" customHeight="1">
      <c r="A193" s="41"/>
      <c r="B193" s="41"/>
      <c r="C193" s="42"/>
      <c r="D193" s="43"/>
      <c r="E193" s="21"/>
      <c r="F193" s="71"/>
      <c r="G193" s="44"/>
      <c r="H193" s="44"/>
      <c r="J193" s="21"/>
    </row>
    <row r="194" spans="1:10" s="39" customFormat="1" ht="30" customHeight="1">
      <c r="A194" s="41"/>
      <c r="B194" s="41"/>
      <c r="C194" s="42"/>
      <c r="D194" s="43"/>
      <c r="E194" s="21"/>
      <c r="F194" s="71"/>
      <c r="G194" s="44"/>
      <c r="H194" s="44"/>
      <c r="J194" s="21"/>
    </row>
    <row r="195" spans="1:10" s="39" customFormat="1" ht="30" customHeight="1">
      <c r="A195" s="41"/>
      <c r="B195" s="41"/>
      <c r="C195" s="42"/>
      <c r="D195" s="43"/>
      <c r="E195" s="21"/>
      <c r="F195" s="71"/>
      <c r="G195" s="44"/>
      <c r="H195" s="44"/>
      <c r="J195" s="21"/>
    </row>
    <row r="196" spans="1:10" s="39" customFormat="1" ht="30" customHeight="1">
      <c r="A196" s="41"/>
      <c r="B196" s="41"/>
      <c r="C196" s="42"/>
      <c r="D196" s="43"/>
      <c r="E196" s="21"/>
      <c r="F196" s="71"/>
      <c r="G196" s="44"/>
      <c r="H196" s="44"/>
      <c r="J196" s="21"/>
    </row>
    <row r="197" spans="1:10" s="39" customFormat="1" ht="30" customHeight="1">
      <c r="A197" s="41"/>
      <c r="B197" s="41"/>
      <c r="C197" s="42"/>
      <c r="D197" s="43"/>
      <c r="E197" s="21"/>
      <c r="F197" s="71"/>
      <c r="G197" s="44"/>
      <c r="H197" s="44"/>
      <c r="J197" s="21"/>
    </row>
  </sheetData>
  <sheetProtection/>
  <mergeCells count="37">
    <mergeCell ref="A1:H1"/>
    <mergeCell ref="A2:H2"/>
    <mergeCell ref="A3:H3"/>
    <mergeCell ref="A5:A6"/>
    <mergeCell ref="B5:B6"/>
    <mergeCell ref="C5:C6"/>
    <mergeCell ref="D5:D6"/>
    <mergeCell ref="E5:F5"/>
    <mergeCell ref="G5:G6"/>
    <mergeCell ref="H5:H6"/>
    <mergeCell ref="A7:H7"/>
    <mergeCell ref="D17:G17"/>
    <mergeCell ref="D22:G22"/>
    <mergeCell ref="D27:G27"/>
    <mergeCell ref="D36:G36"/>
    <mergeCell ref="D42:G42"/>
    <mergeCell ref="D48:G48"/>
    <mergeCell ref="D58:G58"/>
    <mergeCell ref="D62:G62"/>
    <mergeCell ref="A63:G63"/>
    <mergeCell ref="A64:H64"/>
    <mergeCell ref="D71:G71"/>
    <mergeCell ref="D75:G75"/>
    <mergeCell ref="D83:G83"/>
    <mergeCell ref="D88:G88"/>
    <mergeCell ref="D96:G96"/>
    <mergeCell ref="D101:G101"/>
    <mergeCell ref="D105:G105"/>
    <mergeCell ref="A145:G145"/>
    <mergeCell ref="A146:G146"/>
    <mergeCell ref="A147:G147"/>
    <mergeCell ref="D111:G111"/>
    <mergeCell ref="D119:G119"/>
    <mergeCell ref="D128:G128"/>
    <mergeCell ref="D139:G139"/>
    <mergeCell ref="D143:G143"/>
    <mergeCell ref="A144:G144"/>
  </mergeCells>
  <printOptions/>
  <pageMargins left="0.5905511811023623" right="0.1968503937007874" top="0.3937007874015748" bottom="0.3937007874015748" header="0.3937007874015748" footer="0.5118110236220472"/>
  <pageSetup firstPageNumber="4" useFirstPageNumber="1"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Kowalski Ryszard</cp:lastModifiedBy>
  <cp:lastPrinted>2014-03-31T19:32:20Z</cp:lastPrinted>
  <dcterms:created xsi:type="dcterms:W3CDTF">2004-10-02T15:15:25Z</dcterms:created>
  <dcterms:modified xsi:type="dcterms:W3CDTF">2014-04-09T19:36:52Z</dcterms:modified>
  <cp:category/>
  <cp:version/>
  <cp:contentType/>
  <cp:contentStatus/>
</cp:coreProperties>
</file>